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Connectivity Maps\z_JLW Files\Chicago\Port Calumet River Bridges (Grant)\FINAL MAPS\App D - Benefits-Cost Analysis Spreadsheet\"/>
    </mc:Choice>
  </mc:AlternateContent>
  <bookViews>
    <workbookView xWindow="0" yWindow="0" windowWidth="23040" windowHeight="9768" tabRatio="695" firstSheet="1" activeTab="5"/>
  </bookViews>
  <sheets>
    <sheet name="Title Sheet" sheetId="22" r:id="rId1"/>
    <sheet name="About the Spreadsheet Tabs" sheetId="16" r:id="rId2"/>
    <sheet name="Default Values" sheetId="17" r:id="rId3"/>
    <sheet name="Project Benefits &amp; Costs BCR" sheetId="18" r:id="rId4"/>
    <sheet name="BCA Summary Nominal" sheetId="20" r:id="rId5"/>
    <sheet name="BCA Summary Discounted" sheetId="21" r:id="rId6"/>
    <sheet name="Break-Even Graph" sheetId="19" r:id="rId7"/>
    <sheet name="Project Capital and O&amp;M Costs" sheetId="3" r:id="rId8"/>
    <sheet name="TDM Data" sheetId="23" r:id="rId9"/>
    <sheet name="VHT to VOTT Savings" sheetId="8" r:id="rId10"/>
    <sheet name="VMT to VOC Savings" sheetId="10" r:id="rId11"/>
    <sheet name="Crash Rates" sheetId="1" r:id="rId12"/>
    <sheet name="Crashes and Crash Cost Savings" sheetId="6" r:id="rId13"/>
    <sheet name="Environmental Factors" sheetId="11" r:id="rId14"/>
    <sheet name="Environmental Factors2" sheetId="24" r:id="rId15"/>
    <sheet name="Emissions Per VMT" sheetId="12" r:id="rId16"/>
    <sheet name="Emissions Total" sheetId="13" r:id="rId17"/>
    <sheet name="Emissions Costs" sheetId="14" r:id="rId1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1" l="1"/>
  <c r="N8" i="1"/>
  <c r="O8" i="1"/>
  <c r="P8" i="1"/>
  <c r="D14" i="1"/>
  <c r="D15" i="1" s="1"/>
  <c r="D16" i="1" s="1"/>
  <c r="E14" i="1"/>
  <c r="E15" i="1" s="1"/>
  <c r="E16" i="1" s="1"/>
  <c r="F14" i="1"/>
  <c r="F15" i="1" s="1"/>
  <c r="F16" i="1" s="1"/>
  <c r="C14" i="1"/>
  <c r="G4" i="1"/>
  <c r="G5" i="1"/>
  <c r="G6" i="1"/>
  <c r="G7" i="1"/>
  <c r="G8" i="1"/>
  <c r="G9" i="1"/>
  <c r="G10" i="1"/>
  <c r="G11" i="1"/>
  <c r="G12" i="1"/>
  <c r="G13" i="1"/>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41" i="19"/>
  <c r="E8" i="3"/>
  <c r="D35" i="20"/>
  <c r="G14" i="1" l="1"/>
  <c r="G15" i="1" s="1"/>
  <c r="G16" i="1" s="1"/>
  <c r="H33" i="8"/>
  <c r="H34" i="8" s="1"/>
  <c r="H35" i="8" s="1"/>
  <c r="G33" i="8"/>
  <c r="G34" i="8" s="1"/>
  <c r="G35" i="8" s="1"/>
  <c r="H32" i="8"/>
  <c r="G32" i="8"/>
  <c r="C33" i="8"/>
  <c r="D33" i="8"/>
  <c r="C34" i="8"/>
  <c r="D34" i="8"/>
  <c r="C35" i="8"/>
  <c r="D35" i="8"/>
  <c r="D32" i="8"/>
  <c r="C32" i="8"/>
  <c r="G33" i="10"/>
  <c r="G34" i="10" s="1"/>
  <c r="G35" i="10" s="1"/>
  <c r="G36" i="10" s="1"/>
  <c r="F33" i="10"/>
  <c r="F34" i="10" s="1"/>
  <c r="F35" i="10" s="1"/>
  <c r="F36" i="10" s="1"/>
  <c r="B34" i="10"/>
  <c r="B35" i="10" s="1"/>
  <c r="B36" i="10" s="1"/>
  <c r="C34" i="10"/>
  <c r="C35" i="10"/>
  <c r="C36" i="10" s="1"/>
  <c r="C33" i="10"/>
  <c r="B33" i="10"/>
  <c r="A38" i="21"/>
  <c r="D8" i="3"/>
  <c r="M6" i="8"/>
  <c r="M7" i="8"/>
  <c r="M8" i="8"/>
  <c r="M9" i="8"/>
  <c r="S5" i="3"/>
  <c r="V5" i="3" s="1"/>
  <c r="S6" i="3"/>
  <c r="V6" i="3" s="1"/>
  <c r="S7" i="3"/>
  <c r="S8" i="3"/>
  <c r="S9" i="3"/>
  <c r="S10" i="3"/>
  <c r="S11" i="3"/>
  <c r="R6" i="3"/>
  <c r="U6" i="3" s="1"/>
  <c r="R7" i="3"/>
  <c r="U7" i="3" s="1"/>
  <c r="R8" i="3"/>
  <c r="U8" i="3" s="1"/>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5" i="3"/>
  <c r="U5" i="3" s="1"/>
  <c r="V7" i="3"/>
  <c r="V8" i="3"/>
  <c r="Q6" i="21"/>
  <c r="C7" i="19" s="1"/>
  <c r="P6" i="20"/>
  <c r="G8" i="19" l="1"/>
  <c r="G9" i="19" s="1"/>
  <c r="G10" i="19" s="1"/>
  <c r="G11" i="19" s="1"/>
  <c r="G12" i="19" s="1"/>
  <c r="G13" i="19" s="1"/>
  <c r="G14" i="19" s="1"/>
  <c r="G15" i="19" s="1"/>
  <c r="G16" i="19" s="1"/>
  <c r="G17" i="19" s="1"/>
  <c r="G18" i="19" s="1"/>
  <c r="G19" i="19" s="1"/>
  <c r="G20" i="19" s="1"/>
  <c r="G21" i="19" s="1"/>
  <c r="G22" i="19" s="1"/>
  <c r="G23" i="19" s="1"/>
  <c r="G24" i="19" s="1"/>
  <c r="G25" i="19" s="1"/>
  <c r="G26" i="19" s="1"/>
  <c r="G27" i="19" s="1"/>
  <c r="G28" i="19" s="1"/>
  <c r="G29" i="19" s="1"/>
  <c r="G30" i="19" s="1"/>
  <c r="G31" i="19" s="1"/>
  <c r="G32" i="19" s="1"/>
  <c r="G33" i="19" s="1"/>
  <c r="G34" i="19" s="1"/>
  <c r="G35" i="19" s="1"/>
  <c r="G36" i="19" s="1"/>
  <c r="C41" i="19"/>
  <c r="C5" i="3"/>
  <c r="P2" i="8"/>
  <c r="U2" i="8" s="1"/>
  <c r="Q2" i="8"/>
  <c r="V2" i="8" s="1"/>
  <c r="O7" i="8"/>
  <c r="O8" i="8" s="1"/>
  <c r="O9" i="8" s="1"/>
  <c r="O10" i="8" s="1"/>
  <c r="O11" i="8" s="1"/>
  <c r="O12" i="8" s="1"/>
  <c r="O13" i="8" s="1"/>
  <c r="O14" i="8" s="1"/>
  <c r="O15" i="8" s="1"/>
  <c r="O16" i="8" s="1"/>
  <c r="O17" i="8" s="1"/>
  <c r="O18" i="8" s="1"/>
  <c r="O19" i="8" s="1"/>
  <c r="O20" i="8" s="1"/>
  <c r="O21" i="8" s="1"/>
  <c r="O22" i="8" s="1"/>
  <c r="O23" i="8" s="1"/>
  <c r="O24" i="8" s="1"/>
  <c r="O25" i="8" s="1"/>
  <c r="O26" i="8" s="1"/>
  <c r="O27" i="8" s="1"/>
  <c r="O28" i="8" s="1"/>
  <c r="O29" i="8" s="1"/>
  <c r="O30" i="8" s="1"/>
  <c r="O31" i="8" s="1"/>
  <c r="O32" i="8" s="1"/>
  <c r="O33" i="8" s="1"/>
  <c r="O34" i="8" s="1"/>
  <c r="O35" i="8" s="1"/>
  <c r="T8" i="8"/>
  <c r="T9" i="8" s="1"/>
  <c r="T10" i="8" s="1"/>
  <c r="T11" i="8" s="1"/>
  <c r="T12" i="8" s="1"/>
  <c r="T13" i="8" s="1"/>
  <c r="T14" i="8" s="1"/>
  <c r="T15" i="8" s="1"/>
  <c r="T16" i="8" s="1"/>
  <c r="T17" i="8" s="1"/>
  <c r="T18" i="8" s="1"/>
  <c r="T19" i="8" s="1"/>
  <c r="T20" i="8" s="1"/>
  <c r="T21" i="8" s="1"/>
  <c r="T22" i="8" s="1"/>
  <c r="T23" i="8" s="1"/>
  <c r="T24" i="8" s="1"/>
  <c r="T25" i="8" s="1"/>
  <c r="T26" i="8" s="1"/>
  <c r="T27" i="8" s="1"/>
  <c r="T28" i="8" s="1"/>
  <c r="T29" i="8" s="1"/>
  <c r="T30" i="8" s="1"/>
  <c r="T31" i="8" s="1"/>
  <c r="T32" i="8" s="1"/>
  <c r="T33" i="8" s="1"/>
  <c r="T34" i="8" s="1"/>
  <c r="T35" i="8" s="1"/>
  <c r="T36" i="8" s="1"/>
  <c r="F42" i="8"/>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O3" i="10"/>
  <c r="S3" i="10" s="1"/>
  <c r="P3" i="10"/>
  <c r="T3" i="10" s="1"/>
  <c r="N8" i="10"/>
  <c r="N9" i="10" s="1"/>
  <c r="N10" i="10" s="1"/>
  <c r="N31" i="10"/>
  <c r="N32" i="10" s="1"/>
  <c r="N33" i="10" s="1"/>
  <c r="N34" i="10" s="1"/>
  <c r="N35" i="10" s="1"/>
  <c r="N36" i="10" s="1"/>
  <c r="A43" i="10"/>
  <c r="A44" i="10" s="1"/>
  <c r="A45" i="10" s="1"/>
  <c r="F43" i="10"/>
  <c r="F44" i="10" s="1"/>
  <c r="F45" i="10" s="1"/>
  <c r="A66" i="10"/>
  <c r="A67" i="10" s="1"/>
  <c r="A68" i="10" s="1"/>
  <c r="A69" i="10" s="1"/>
  <c r="A70" i="10" s="1"/>
  <c r="A71" i="10" s="1"/>
  <c r="F66" i="10"/>
  <c r="F67" i="10" s="1"/>
  <c r="F68" i="10" s="1"/>
  <c r="F69" i="10" s="1"/>
  <c r="F70" i="10" s="1"/>
  <c r="F71" i="10" s="1"/>
  <c r="J7" i="20" l="1"/>
  <c r="G7" i="20"/>
  <c r="P7" i="20" s="1"/>
  <c r="G8" i="20"/>
  <c r="P8" i="20" s="1"/>
  <c r="J8" i="20"/>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88" i="6"/>
  <c r="B36" i="19" l="1"/>
  <c r="B32" i="19"/>
  <c r="B33" i="19"/>
  <c r="B34" i="19"/>
  <c r="B35" i="19"/>
  <c r="AE67" i="14"/>
  <c r="AE68" i="14" s="1"/>
  <c r="AE69" i="14" s="1"/>
  <c r="AE70" i="14" s="1"/>
  <c r="AD67" i="14"/>
  <c r="AD68" i="14" s="1"/>
  <c r="AD69" i="14" s="1"/>
  <c r="AD70" i="14" s="1"/>
  <c r="L12" i="23"/>
  <c r="L11" i="23"/>
  <c r="L10" i="23"/>
  <c r="I8" i="12" s="1"/>
  <c r="L25" i="23"/>
  <c r="L24" i="23"/>
  <c r="L23" i="23"/>
  <c r="A11" i="12" s="1"/>
  <c r="C76" i="24"/>
  <c r="D76" i="24"/>
  <c r="E76" i="24"/>
  <c r="F76" i="24"/>
  <c r="C77" i="24"/>
  <c r="D77" i="24"/>
  <c r="E77" i="24"/>
  <c r="F77" i="24"/>
  <c r="C78" i="24"/>
  <c r="D78" i="24"/>
  <c r="E78" i="24"/>
  <c r="F78" i="24"/>
  <c r="C79" i="24"/>
  <c r="D79" i="24"/>
  <c r="E79" i="24"/>
  <c r="F79" i="24"/>
  <c r="C39" i="24"/>
  <c r="D39" i="24"/>
  <c r="D40" i="24" s="1"/>
  <c r="D41" i="24" s="1"/>
  <c r="D42" i="24" s="1"/>
  <c r="E39" i="24"/>
  <c r="F39" i="24"/>
  <c r="F40" i="24" s="1"/>
  <c r="F41" i="24" s="1"/>
  <c r="F42" i="24" s="1"/>
  <c r="C40" i="24"/>
  <c r="C41" i="24" s="1"/>
  <c r="C42" i="24" s="1"/>
  <c r="E40" i="24"/>
  <c r="E41" i="24" s="1"/>
  <c r="E42" i="24" s="1"/>
  <c r="G7" i="10"/>
  <c r="T7" i="10" s="1"/>
  <c r="F7" i="10"/>
  <c r="I5" i="13" s="1"/>
  <c r="C7" i="10"/>
  <c r="B7" i="10"/>
  <c r="C32" i="24"/>
  <c r="D32" i="24"/>
  <c r="E32" i="24"/>
  <c r="F32" i="24"/>
  <c r="C33" i="24"/>
  <c r="D33" i="24"/>
  <c r="E33" i="24"/>
  <c r="F33" i="24"/>
  <c r="C34" i="24"/>
  <c r="D34" i="24"/>
  <c r="E34" i="24"/>
  <c r="F34" i="24"/>
  <c r="C15" i="24"/>
  <c r="D15" i="24"/>
  <c r="E15" i="24"/>
  <c r="F15" i="24"/>
  <c r="C16" i="24"/>
  <c r="D16" i="24"/>
  <c r="E16" i="24"/>
  <c r="F16" i="24"/>
  <c r="C17" i="24"/>
  <c r="D17" i="24"/>
  <c r="E17" i="24"/>
  <c r="F17" i="24"/>
  <c r="C18" i="24"/>
  <c r="D18" i="24"/>
  <c r="E18" i="24"/>
  <c r="F18" i="24"/>
  <c r="C19" i="24"/>
  <c r="D19" i="24"/>
  <c r="E19" i="24"/>
  <c r="F19" i="24"/>
  <c r="H20" i="23"/>
  <c r="C20" i="23"/>
  <c r="D25" i="23" s="1"/>
  <c r="C22" i="24"/>
  <c r="D22" i="24"/>
  <c r="E22" i="24"/>
  <c r="F22" i="24"/>
  <c r="C23" i="24"/>
  <c r="D23" i="24"/>
  <c r="E23" i="24"/>
  <c r="F23" i="24"/>
  <c r="C24" i="24"/>
  <c r="D24" i="24"/>
  <c r="E24" i="24"/>
  <c r="F24" i="24"/>
  <c r="C25" i="24"/>
  <c r="D25" i="24"/>
  <c r="E25" i="24"/>
  <c r="F25" i="24"/>
  <c r="C26" i="24"/>
  <c r="D26" i="24"/>
  <c r="E26" i="24"/>
  <c r="F26" i="24"/>
  <c r="C27" i="24"/>
  <c r="D27" i="24"/>
  <c r="E27" i="24"/>
  <c r="F27" i="24"/>
  <c r="C28" i="24"/>
  <c r="D28" i="24"/>
  <c r="E28" i="24"/>
  <c r="F28" i="24"/>
  <c r="C29" i="24"/>
  <c r="D29" i="24"/>
  <c r="E29" i="24"/>
  <c r="F29" i="24"/>
  <c r="C30" i="24"/>
  <c r="D30" i="24"/>
  <c r="E30" i="24"/>
  <c r="F30" i="24"/>
  <c r="C31" i="24"/>
  <c r="D31" i="24"/>
  <c r="E31" i="24"/>
  <c r="F31" i="24"/>
  <c r="D21" i="24"/>
  <c r="E21" i="24"/>
  <c r="F21" i="24"/>
  <c r="C21" i="24"/>
  <c r="C6" i="24"/>
  <c r="D6" i="24"/>
  <c r="E6" i="24"/>
  <c r="F6" i="24"/>
  <c r="C7" i="24"/>
  <c r="D7" i="24"/>
  <c r="E7" i="24"/>
  <c r="F7" i="24"/>
  <c r="C8" i="24"/>
  <c r="D8" i="24"/>
  <c r="E8" i="24"/>
  <c r="F8" i="24"/>
  <c r="F10" i="24"/>
  <c r="F11" i="24"/>
  <c r="F12" i="24"/>
  <c r="F13" i="24"/>
  <c r="F14" i="24"/>
  <c r="F9" i="24"/>
  <c r="E10" i="24"/>
  <c r="E11" i="24"/>
  <c r="E12" i="24"/>
  <c r="E13" i="24"/>
  <c r="E14" i="24"/>
  <c r="E9" i="24"/>
  <c r="D10" i="24"/>
  <c r="D11" i="24"/>
  <c r="D12" i="24"/>
  <c r="D13" i="24"/>
  <c r="D14" i="24"/>
  <c r="D9" i="24"/>
  <c r="C10" i="24"/>
  <c r="C11" i="24"/>
  <c r="C12" i="24"/>
  <c r="C13" i="24"/>
  <c r="C14" i="24"/>
  <c r="C9" i="24"/>
  <c r="A42" i="8"/>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I6" i="8"/>
  <c r="H6" i="8"/>
  <c r="V7" i="8" s="1"/>
  <c r="G6" i="8"/>
  <c r="U7" i="8" s="1"/>
  <c r="E6" i="8"/>
  <c r="D6" i="8"/>
  <c r="Q6" i="8" s="1"/>
  <c r="C6" i="8"/>
  <c r="P6" i="8" s="1"/>
  <c r="I25" i="23"/>
  <c r="H25" i="23"/>
  <c r="I24" i="23"/>
  <c r="H24" i="23"/>
  <c r="I23" i="23"/>
  <c r="H23" i="23"/>
  <c r="I12" i="23"/>
  <c r="H12" i="23"/>
  <c r="I11" i="23"/>
  <c r="H11" i="23"/>
  <c r="I10" i="23"/>
  <c r="H10" i="23"/>
  <c r="D24" i="23"/>
  <c r="C8" i="10" s="1"/>
  <c r="C24" i="23"/>
  <c r="D23" i="23"/>
  <c r="C23" i="23"/>
  <c r="D11" i="23"/>
  <c r="D12" i="23"/>
  <c r="D10" i="23"/>
  <c r="C11" i="23"/>
  <c r="C12" i="23"/>
  <c r="C10" i="23"/>
  <c r="AD71" i="14" l="1"/>
  <c r="AD72" i="14" s="1"/>
  <c r="AD73" i="14" s="1"/>
  <c r="AD74" i="14" s="1"/>
  <c r="AD75" i="14" s="1"/>
  <c r="AD76" i="14" s="1"/>
  <c r="AD77" i="14" s="1"/>
  <c r="AD78" i="14" s="1"/>
  <c r="AD79" i="14" s="1"/>
  <c r="AD80" i="14" s="1"/>
  <c r="AD81" i="14" s="1"/>
  <c r="AD82" i="14" s="1"/>
  <c r="AD83" i="14" s="1"/>
  <c r="AD84" i="14" s="1"/>
  <c r="AD85" i="14" s="1"/>
  <c r="AD86" i="14" s="1"/>
  <c r="AD87" i="14" s="1"/>
  <c r="AD88" i="14" s="1"/>
  <c r="AD89" i="14" s="1"/>
  <c r="AD90" i="14" s="1"/>
  <c r="AD91" i="14" s="1"/>
  <c r="AD92" i="14" s="1"/>
  <c r="AD93" i="14" s="1"/>
  <c r="AD94" i="14" s="1"/>
  <c r="AD95" i="14" s="1"/>
  <c r="AD96" i="14" s="1"/>
  <c r="AD97" i="14" s="1"/>
  <c r="AD98" i="14" s="1"/>
  <c r="AD99" i="14" s="1"/>
  <c r="AD100" i="14" s="1"/>
  <c r="AE71" i="14"/>
  <c r="AE72" i="14" s="1"/>
  <c r="AE73" i="14" s="1"/>
  <c r="AE74" i="14" s="1"/>
  <c r="AE75" i="14" s="1"/>
  <c r="AE76" i="14" s="1"/>
  <c r="AE77" i="14" s="1"/>
  <c r="AE78" i="14" s="1"/>
  <c r="AE79" i="14" s="1"/>
  <c r="AE80" i="14" s="1"/>
  <c r="AE81" i="14" s="1"/>
  <c r="AE82" i="14" s="1"/>
  <c r="AE83" i="14" s="1"/>
  <c r="AE84" i="14" s="1"/>
  <c r="AE85" i="14" s="1"/>
  <c r="AE86" i="14" s="1"/>
  <c r="AE87" i="14" s="1"/>
  <c r="AE88" i="14" s="1"/>
  <c r="AE89" i="14" s="1"/>
  <c r="AE90" i="14" s="1"/>
  <c r="AE91" i="14" s="1"/>
  <c r="AE92" i="14" s="1"/>
  <c r="AE93" i="14" s="1"/>
  <c r="AE94" i="14" s="1"/>
  <c r="AE95" i="14" s="1"/>
  <c r="AE96" i="14" s="1"/>
  <c r="AE97" i="14" s="1"/>
  <c r="AE98" i="14" s="1"/>
  <c r="AE99" i="14" s="1"/>
  <c r="AE100" i="14" s="1"/>
  <c r="M8" i="12"/>
  <c r="O8" i="12"/>
  <c r="H7" i="10"/>
  <c r="T8" i="1" s="1"/>
  <c r="J5" i="6" s="1"/>
  <c r="J46" i="6" s="1"/>
  <c r="I34" i="12"/>
  <c r="R6" i="8"/>
  <c r="I26" i="12"/>
  <c r="A10" i="12"/>
  <c r="A53" i="12"/>
  <c r="A47" i="12"/>
  <c r="A42" i="12"/>
  <c r="I42" i="12"/>
  <c r="I61" i="12"/>
  <c r="A50" i="12"/>
  <c r="A66" i="12"/>
  <c r="A62" i="12"/>
  <c r="A52" i="12"/>
  <c r="A22" i="12"/>
  <c r="A46" i="12"/>
  <c r="N8" i="12"/>
  <c r="L8" i="12"/>
  <c r="I21" i="12"/>
  <c r="I14" i="12"/>
  <c r="G7" i="8"/>
  <c r="U8" i="8" s="1"/>
  <c r="C7" i="8"/>
  <c r="W7" i="8"/>
  <c r="H7" i="8"/>
  <c r="V8" i="8" s="1"/>
  <c r="B40" i="13"/>
  <c r="P8" i="10"/>
  <c r="K40" i="12"/>
  <c r="B39" i="13"/>
  <c r="P7" i="10"/>
  <c r="C42" i="10" s="1"/>
  <c r="I39" i="13"/>
  <c r="C5" i="12"/>
  <c r="O7" i="10"/>
  <c r="K5" i="12"/>
  <c r="S7" i="10"/>
  <c r="C40" i="12"/>
  <c r="S8" i="1"/>
  <c r="I5" i="6" s="1"/>
  <c r="I46" i="6" s="1"/>
  <c r="B8" i="10"/>
  <c r="O8" i="10" s="1"/>
  <c r="I43" i="12"/>
  <c r="I57" i="12"/>
  <c r="I40" i="12"/>
  <c r="I53" i="12"/>
  <c r="I56" i="12"/>
  <c r="A30" i="12"/>
  <c r="I67" i="12"/>
  <c r="I52" i="12"/>
  <c r="A26" i="12"/>
  <c r="I65" i="12"/>
  <c r="I48" i="12"/>
  <c r="I64" i="12"/>
  <c r="I47" i="12"/>
  <c r="A14" i="12"/>
  <c r="I62" i="12"/>
  <c r="I44" i="12"/>
  <c r="A34" i="12"/>
  <c r="A18" i="12"/>
  <c r="I33" i="12"/>
  <c r="I18" i="12"/>
  <c r="A33" i="12"/>
  <c r="A17" i="12"/>
  <c r="I32" i="12"/>
  <c r="I17" i="12"/>
  <c r="A60" i="12"/>
  <c r="I69" i="12"/>
  <c r="I60" i="12"/>
  <c r="I51" i="12"/>
  <c r="I41" i="12"/>
  <c r="A31" i="12"/>
  <c r="A15" i="12"/>
  <c r="I30" i="12"/>
  <c r="I16" i="12"/>
  <c r="A58" i="12"/>
  <c r="I68" i="12"/>
  <c r="I59" i="12"/>
  <c r="I49" i="12"/>
  <c r="I11" i="12"/>
  <c r="I25" i="12"/>
  <c r="I10" i="12"/>
  <c r="A25" i="12"/>
  <c r="A9" i="12"/>
  <c r="I24" i="12"/>
  <c r="I6" i="12"/>
  <c r="I55" i="12"/>
  <c r="I46" i="12"/>
  <c r="A23" i="12"/>
  <c r="A7" i="12"/>
  <c r="I22" i="12"/>
  <c r="A68" i="12"/>
  <c r="A44" i="12"/>
  <c r="I63" i="12"/>
  <c r="I54" i="12"/>
  <c r="I45" i="12"/>
  <c r="I66" i="12"/>
  <c r="I58" i="12"/>
  <c r="I50" i="12"/>
  <c r="I9" i="12"/>
  <c r="A61" i="12"/>
  <c r="A45" i="12"/>
  <c r="A40" i="12"/>
  <c r="A54" i="12"/>
  <c r="A69" i="12"/>
  <c r="A32" i="12"/>
  <c r="A24" i="12"/>
  <c r="A16" i="12"/>
  <c r="A8" i="12"/>
  <c r="A29" i="12"/>
  <c r="A21" i="12"/>
  <c r="A13" i="12"/>
  <c r="A28" i="12"/>
  <c r="A20" i="12"/>
  <c r="A12" i="12"/>
  <c r="A6" i="12"/>
  <c r="A5" i="12"/>
  <c r="A27" i="12"/>
  <c r="A19" i="12"/>
  <c r="A67" i="12"/>
  <c r="A59" i="12"/>
  <c r="A51" i="12"/>
  <c r="A43" i="12"/>
  <c r="A65" i="12"/>
  <c r="A57" i="12"/>
  <c r="A49" i="12"/>
  <c r="A41" i="12"/>
  <c r="A64" i="12"/>
  <c r="A56" i="12"/>
  <c r="A48" i="12"/>
  <c r="A63" i="12"/>
  <c r="A55" i="12"/>
  <c r="I31" i="12"/>
  <c r="I23" i="12"/>
  <c r="I15" i="12"/>
  <c r="I7" i="12"/>
  <c r="I29" i="12"/>
  <c r="I13" i="12"/>
  <c r="I28" i="12"/>
  <c r="I20" i="12"/>
  <c r="I12" i="12"/>
  <c r="I5" i="12"/>
  <c r="I27" i="12"/>
  <c r="I19" i="12"/>
  <c r="J7" i="10"/>
  <c r="B5" i="13"/>
  <c r="K6" i="8"/>
  <c r="L6" i="8"/>
  <c r="D7" i="8"/>
  <c r="Q7" i="8" s="1"/>
  <c r="C9" i="10"/>
  <c r="C41" i="12"/>
  <c r="C6" i="12"/>
  <c r="K7" i="10"/>
  <c r="D7" i="10"/>
  <c r="F8" i="10"/>
  <c r="S8" i="10" s="1"/>
  <c r="G8" i="10"/>
  <c r="T8" i="10" s="1"/>
  <c r="C25" i="23"/>
  <c r="G20" i="23"/>
  <c r="B20" i="23"/>
  <c r="I20" i="23"/>
  <c r="I7" i="23"/>
  <c r="H7" i="23"/>
  <c r="G7" i="23"/>
  <c r="D20" i="23"/>
  <c r="D7" i="23"/>
  <c r="C7" i="23"/>
  <c r="B7" i="23"/>
  <c r="V8" i="1" l="1"/>
  <c r="H5" i="6" s="1"/>
  <c r="U8" i="1"/>
  <c r="K5" i="6" s="1"/>
  <c r="K46" i="6" s="1"/>
  <c r="H46" i="6" s="1"/>
  <c r="B6" i="13"/>
  <c r="H8" i="8"/>
  <c r="V9" i="8" s="1"/>
  <c r="B9" i="10"/>
  <c r="O9" i="10" s="1"/>
  <c r="M43" i="12"/>
  <c r="L43" i="12"/>
  <c r="N43" i="12"/>
  <c r="O43" i="12"/>
  <c r="N44" i="12"/>
  <c r="O44" i="12"/>
  <c r="M44" i="12"/>
  <c r="L44" i="12"/>
  <c r="F7" i="12"/>
  <c r="G7" i="12"/>
  <c r="D7" i="12"/>
  <c r="E7" i="12"/>
  <c r="G40" i="12"/>
  <c r="F39" i="13" s="1"/>
  <c r="F38" i="14" s="1"/>
  <c r="D40" i="12"/>
  <c r="C39" i="13" s="1"/>
  <c r="C38" i="14" s="1"/>
  <c r="E40" i="12"/>
  <c r="D39" i="13" s="1"/>
  <c r="D38" i="14" s="1"/>
  <c r="F40" i="12"/>
  <c r="E39" i="13" s="1"/>
  <c r="E38" i="14" s="1"/>
  <c r="M41" i="12"/>
  <c r="L41" i="12"/>
  <c r="N41" i="12"/>
  <c r="O41" i="12"/>
  <c r="F42" i="12"/>
  <c r="G42" i="12"/>
  <c r="D42" i="12"/>
  <c r="E42" i="12"/>
  <c r="N42" i="12"/>
  <c r="O42" i="12"/>
  <c r="L42" i="12"/>
  <c r="M42" i="12"/>
  <c r="M6" i="12"/>
  <c r="L6" i="12"/>
  <c r="N6" i="12"/>
  <c r="O6" i="12"/>
  <c r="C43" i="10"/>
  <c r="D8" i="12"/>
  <c r="F8" i="12"/>
  <c r="E8" i="12"/>
  <c r="G8" i="12"/>
  <c r="F44" i="12"/>
  <c r="G44" i="12"/>
  <c r="D44" i="12"/>
  <c r="E44" i="12"/>
  <c r="E41" i="12"/>
  <c r="D40" i="13" s="1"/>
  <c r="D39" i="14" s="1"/>
  <c r="D41" i="12"/>
  <c r="C40" i="13" s="1"/>
  <c r="C39" i="14" s="1"/>
  <c r="F41" i="12"/>
  <c r="E40" i="13" s="1"/>
  <c r="E39" i="14" s="1"/>
  <c r="G41" i="12"/>
  <c r="F40" i="13" s="1"/>
  <c r="F39" i="14" s="1"/>
  <c r="O5" i="12"/>
  <c r="M5" i="13" s="1"/>
  <c r="M5" i="14" s="1"/>
  <c r="L5" i="12"/>
  <c r="J5" i="13" s="1"/>
  <c r="J5" i="14" s="1"/>
  <c r="M5" i="12"/>
  <c r="K5" i="13" s="1"/>
  <c r="K5" i="14" s="1"/>
  <c r="N5" i="12"/>
  <c r="L5" i="13" s="1"/>
  <c r="L5" i="14" s="1"/>
  <c r="G5" i="12"/>
  <c r="F5" i="13" s="1"/>
  <c r="F5" i="14" s="1"/>
  <c r="D5" i="12"/>
  <c r="C5" i="13" s="1"/>
  <c r="E5" i="12"/>
  <c r="D5" i="13" s="1"/>
  <c r="D5" i="14" s="1"/>
  <c r="F5" i="12"/>
  <c r="E5" i="13" s="1"/>
  <c r="E5" i="14" s="1"/>
  <c r="D6" i="12"/>
  <c r="F6" i="12"/>
  <c r="E6" i="12"/>
  <c r="G6" i="12"/>
  <c r="N9" i="12"/>
  <c r="O9" i="12"/>
  <c r="L9" i="12"/>
  <c r="M9" i="12"/>
  <c r="F9" i="12"/>
  <c r="G9" i="12"/>
  <c r="D9" i="12"/>
  <c r="E9" i="12"/>
  <c r="O40" i="12"/>
  <c r="M39" i="13" s="1"/>
  <c r="M38" i="14" s="1"/>
  <c r="L40" i="12"/>
  <c r="J39" i="13" s="1"/>
  <c r="J38" i="14" s="1"/>
  <c r="N40" i="12"/>
  <c r="L39" i="13" s="1"/>
  <c r="L38" i="14" s="1"/>
  <c r="M40" i="12"/>
  <c r="K39" i="13" s="1"/>
  <c r="K38" i="14" s="1"/>
  <c r="N7" i="12"/>
  <c r="O7" i="12"/>
  <c r="L7" i="12"/>
  <c r="M7" i="12"/>
  <c r="E43" i="12"/>
  <c r="D43" i="12"/>
  <c r="F43" i="12"/>
  <c r="G43" i="12"/>
  <c r="Q8" i="10"/>
  <c r="W8" i="8"/>
  <c r="K7" i="8"/>
  <c r="G8" i="8"/>
  <c r="G9" i="8" s="1"/>
  <c r="U10" i="8" s="1"/>
  <c r="W10" i="8" s="1"/>
  <c r="C8" i="8"/>
  <c r="P7" i="8"/>
  <c r="R7" i="8" s="1"/>
  <c r="B42" i="10"/>
  <c r="H42" i="10" s="1"/>
  <c r="U7" i="10"/>
  <c r="B41" i="13"/>
  <c r="P9" i="10"/>
  <c r="Q9" i="10" s="1"/>
  <c r="U8" i="10"/>
  <c r="B43" i="10"/>
  <c r="H43" i="10" s="1"/>
  <c r="L7" i="10"/>
  <c r="Q7" i="10"/>
  <c r="C5" i="6"/>
  <c r="C46" i="6" s="1"/>
  <c r="E5" i="6"/>
  <c r="E46" i="6" s="1"/>
  <c r="D5" i="6"/>
  <c r="D46" i="6" s="1"/>
  <c r="K41" i="12"/>
  <c r="I40" i="13"/>
  <c r="J88" i="6"/>
  <c r="H9" i="8"/>
  <c r="V10" i="8" s="1"/>
  <c r="I6" i="13"/>
  <c r="K6" i="12"/>
  <c r="D8" i="8"/>
  <c r="Q8" i="8" s="1"/>
  <c r="L7" i="8"/>
  <c r="B10" i="10"/>
  <c r="O10" i="10" s="1"/>
  <c r="C7" i="12"/>
  <c r="B7" i="13"/>
  <c r="C10" i="10"/>
  <c r="C42" i="12"/>
  <c r="K8" i="10"/>
  <c r="G9" i="10"/>
  <c r="T9" i="10" s="1"/>
  <c r="F9" i="10"/>
  <c r="S9" i="10" s="1"/>
  <c r="J8" i="10"/>
  <c r="K88" i="6" l="1"/>
  <c r="F6" i="13"/>
  <c r="F6" i="14" s="1"/>
  <c r="F72" i="14" s="1"/>
  <c r="C6" i="13"/>
  <c r="D6" i="13"/>
  <c r="D6" i="14" s="1"/>
  <c r="D72" i="14" s="1"/>
  <c r="E6" i="13"/>
  <c r="E6" i="14" s="1"/>
  <c r="M71" i="14"/>
  <c r="S38" i="14"/>
  <c r="L71" i="14"/>
  <c r="AA8" i="1"/>
  <c r="I5" i="14"/>
  <c r="B38" i="14"/>
  <c r="B46" i="6"/>
  <c r="B5" i="6"/>
  <c r="N5" i="6" s="1"/>
  <c r="K71" i="14"/>
  <c r="D36" i="20"/>
  <c r="I38" i="14"/>
  <c r="C44" i="10"/>
  <c r="F9" i="20" s="1"/>
  <c r="R38" i="14"/>
  <c r="D43" i="10"/>
  <c r="B39" i="14"/>
  <c r="K8" i="8"/>
  <c r="U9" i="8"/>
  <c r="W9" i="8" s="1"/>
  <c r="C9" i="8"/>
  <c r="P8" i="8"/>
  <c r="R8" i="8" s="1"/>
  <c r="D42" i="10"/>
  <c r="Y8" i="1"/>
  <c r="U9" i="10"/>
  <c r="D44" i="10" s="1"/>
  <c r="B44" i="10"/>
  <c r="C41" i="13"/>
  <c r="C40" i="14" s="1"/>
  <c r="E41" i="13"/>
  <c r="E40" i="14" s="1"/>
  <c r="D41" i="13"/>
  <c r="D40" i="14" s="1"/>
  <c r="F41" i="13"/>
  <c r="F40" i="14" s="1"/>
  <c r="T38" i="14"/>
  <c r="B42" i="13"/>
  <c r="E42" i="13" s="1"/>
  <c r="E41" i="14" s="1"/>
  <c r="P10" i="10"/>
  <c r="Q10" i="10" s="1"/>
  <c r="Q38" i="14"/>
  <c r="J71" i="14"/>
  <c r="K40" i="13"/>
  <c r="K39" i="14" s="1"/>
  <c r="L40" i="13"/>
  <c r="L39" i="14" s="1"/>
  <c r="M40" i="13"/>
  <c r="M39" i="14" s="1"/>
  <c r="J40" i="13"/>
  <c r="J39" i="14" s="1"/>
  <c r="Z8" i="1"/>
  <c r="Q5" i="6"/>
  <c r="I88" i="6"/>
  <c r="P5" i="6"/>
  <c r="K42" i="12"/>
  <c r="I41" i="13"/>
  <c r="O5" i="6"/>
  <c r="L6" i="13"/>
  <c r="L6" i="14" s="1"/>
  <c r="S6" i="14" s="1"/>
  <c r="J6" i="13"/>
  <c r="J6" i="14" s="1"/>
  <c r="M6" i="13"/>
  <c r="M6" i="14" s="1"/>
  <c r="K6" i="13"/>
  <c r="K6" i="14" s="1"/>
  <c r="R6" i="14" s="1"/>
  <c r="T5" i="14"/>
  <c r="F71" i="14"/>
  <c r="T71" i="14" s="1"/>
  <c r="AA71" i="14" s="1"/>
  <c r="R5" i="14"/>
  <c r="D71" i="14"/>
  <c r="E72" i="14"/>
  <c r="S5" i="14"/>
  <c r="E71" i="14"/>
  <c r="C6" i="14"/>
  <c r="C5" i="14"/>
  <c r="C7" i="13"/>
  <c r="D7" i="13"/>
  <c r="D7" i="14" s="1"/>
  <c r="E7" i="13"/>
  <c r="E7" i="14" s="1"/>
  <c r="F7" i="13"/>
  <c r="F7" i="14" s="1"/>
  <c r="H10" i="8"/>
  <c r="V11" i="8" s="1"/>
  <c r="G10" i="8"/>
  <c r="U11" i="8" s="1"/>
  <c r="W11" i="8" s="1"/>
  <c r="K9" i="8"/>
  <c r="L8" i="10"/>
  <c r="I7" i="13"/>
  <c r="K7" i="12"/>
  <c r="D9" i="8"/>
  <c r="Q9" i="8" s="1"/>
  <c r="L8" i="8"/>
  <c r="C11" i="10"/>
  <c r="C43" i="12"/>
  <c r="B11" i="10"/>
  <c r="C8" i="12"/>
  <c r="B8" i="13"/>
  <c r="G10" i="10"/>
  <c r="T10" i="10" s="1"/>
  <c r="C45" i="10" s="1"/>
  <c r="F10" i="20" s="1"/>
  <c r="K9" i="10"/>
  <c r="F10" i="10"/>
  <c r="S10" i="10" s="1"/>
  <c r="J9" i="10"/>
  <c r="G6" i="3"/>
  <c r="G7" i="3" s="1"/>
  <c r="G8" i="3" s="1"/>
  <c r="G9" i="3" s="1"/>
  <c r="G10" i="3" s="1"/>
  <c r="G11" i="3" s="1"/>
  <c r="G12" i="3" s="1"/>
  <c r="H88" i="6" l="1"/>
  <c r="T6" i="14"/>
  <c r="D42" i="13"/>
  <c r="D41" i="14" s="1"/>
  <c r="S71" i="14"/>
  <c r="Z71" i="14" s="1"/>
  <c r="I71" i="14"/>
  <c r="R71" i="14"/>
  <c r="Y71" i="14" s="1"/>
  <c r="AB8" i="1"/>
  <c r="G13" i="3"/>
  <c r="S12" i="3"/>
  <c r="P38" i="14"/>
  <c r="F42" i="13"/>
  <c r="F41" i="14" s="1"/>
  <c r="C42" i="13"/>
  <c r="C41" i="14" s="1"/>
  <c r="C10" i="8"/>
  <c r="P10" i="8" s="1"/>
  <c r="P9" i="8"/>
  <c r="R9" i="8" s="1"/>
  <c r="U10" i="10"/>
  <c r="D45" i="10" s="1"/>
  <c r="B45" i="10"/>
  <c r="B40" i="14"/>
  <c r="B12" i="10"/>
  <c r="O11" i="10"/>
  <c r="Q11" i="10" s="1"/>
  <c r="H44" i="10"/>
  <c r="E9" i="20"/>
  <c r="C12" i="10"/>
  <c r="P11" i="10"/>
  <c r="D88" i="6"/>
  <c r="P88" i="6" s="1"/>
  <c r="P46" i="6"/>
  <c r="C88" i="6"/>
  <c r="O46" i="6"/>
  <c r="N46" i="6"/>
  <c r="T39" i="14"/>
  <c r="M72" i="14"/>
  <c r="T72" i="14" s="1"/>
  <c r="AA72" i="14" s="1"/>
  <c r="Q46" i="6"/>
  <c r="E88" i="6"/>
  <c r="Q88" i="6" s="1"/>
  <c r="L72" i="14"/>
  <c r="S72" i="14" s="1"/>
  <c r="Z72" i="14" s="1"/>
  <c r="S39" i="14"/>
  <c r="K43" i="12"/>
  <c r="I42" i="13"/>
  <c r="M41" i="13"/>
  <c r="M40" i="14" s="1"/>
  <c r="L41" i="13"/>
  <c r="L40" i="14" s="1"/>
  <c r="J41" i="13"/>
  <c r="J40" i="14" s="1"/>
  <c r="K41" i="13"/>
  <c r="K40" i="14" s="1"/>
  <c r="K72" i="14"/>
  <c r="R72" i="14" s="1"/>
  <c r="Y72" i="14" s="1"/>
  <c r="R39" i="14"/>
  <c r="I6" i="14"/>
  <c r="J72" i="14"/>
  <c r="I39" i="14"/>
  <c r="Q39" i="14"/>
  <c r="L7" i="13"/>
  <c r="L7" i="14" s="1"/>
  <c r="S7" i="14" s="1"/>
  <c r="J7" i="13"/>
  <c r="J7" i="14" s="1"/>
  <c r="M7" i="13"/>
  <c r="M7" i="14" s="1"/>
  <c r="T7" i="14" s="1"/>
  <c r="K7" i="13"/>
  <c r="K7" i="14" s="1"/>
  <c r="R7" i="14" s="1"/>
  <c r="Q5" i="14"/>
  <c r="P5" i="14" s="1"/>
  <c r="C71" i="14"/>
  <c r="F73" i="14"/>
  <c r="E73" i="14"/>
  <c r="D73" i="14"/>
  <c r="Q6" i="14"/>
  <c r="C72" i="14"/>
  <c r="B72" i="14" s="1"/>
  <c r="B5" i="14"/>
  <c r="C7" i="14"/>
  <c r="B7" i="14" s="1"/>
  <c r="B6" i="14"/>
  <c r="D8" i="13"/>
  <c r="D8" i="14" s="1"/>
  <c r="C8" i="13"/>
  <c r="E8" i="13"/>
  <c r="E8" i="14" s="1"/>
  <c r="F8" i="13"/>
  <c r="F8" i="14" s="1"/>
  <c r="H11" i="8"/>
  <c r="V12" i="8" s="1"/>
  <c r="G11" i="8"/>
  <c r="U12" i="8" s="1"/>
  <c r="W12" i="8" s="1"/>
  <c r="L9" i="10"/>
  <c r="K8" i="12"/>
  <c r="I8" i="13"/>
  <c r="D10" i="8"/>
  <c r="Q10" i="8" s="1"/>
  <c r="L9" i="8"/>
  <c r="F11" i="10"/>
  <c r="J10" i="10"/>
  <c r="G11" i="10"/>
  <c r="K10" i="10"/>
  <c r="P6" i="14" l="1"/>
  <c r="B41" i="14"/>
  <c r="G9" i="20"/>
  <c r="G14" i="3"/>
  <c r="G15" i="3" s="1"/>
  <c r="G16" i="3" s="1"/>
  <c r="G17" i="3" s="1"/>
  <c r="G18" i="3" s="1"/>
  <c r="G19" i="3" s="1"/>
  <c r="G20" i="3" s="1"/>
  <c r="G21" i="3" s="1"/>
  <c r="G22" i="3" s="1"/>
  <c r="G23" i="3" s="1"/>
  <c r="G24" i="3" s="1"/>
  <c r="G25" i="3" s="1"/>
  <c r="G26" i="3" s="1"/>
  <c r="G27" i="3" s="1"/>
  <c r="G28" i="3" s="1"/>
  <c r="G29" i="3" s="1"/>
  <c r="G30" i="3" s="1"/>
  <c r="G31" i="3" s="1"/>
  <c r="G32" i="3" s="1"/>
  <c r="G33" i="3" s="1"/>
  <c r="G34" i="3" s="1"/>
  <c r="G35" i="3" s="1"/>
  <c r="G36" i="3" s="1"/>
  <c r="G37" i="3" s="1"/>
  <c r="G38" i="3" s="1"/>
  <c r="G39" i="3" s="1"/>
  <c r="S13" i="3"/>
  <c r="R10" i="8"/>
  <c r="B13" i="10"/>
  <c r="O12" i="10"/>
  <c r="G12" i="10"/>
  <c r="T11" i="10"/>
  <c r="C46" i="10" s="1"/>
  <c r="C13" i="10"/>
  <c r="P12" i="10"/>
  <c r="H45" i="10"/>
  <c r="E10" i="20"/>
  <c r="G10" i="20" s="1"/>
  <c r="F12" i="10"/>
  <c r="S11" i="10"/>
  <c r="L42" i="13"/>
  <c r="L41" i="14" s="1"/>
  <c r="K42" i="13"/>
  <c r="K41" i="14" s="1"/>
  <c r="M42" i="13"/>
  <c r="M41" i="14" s="1"/>
  <c r="J42" i="13"/>
  <c r="J41" i="14" s="1"/>
  <c r="O88" i="6"/>
  <c r="B88" i="6"/>
  <c r="N88" i="6" s="1"/>
  <c r="M8" i="13"/>
  <c r="M8" i="14" s="1"/>
  <c r="T8" i="14" s="1"/>
  <c r="L8" i="13"/>
  <c r="L8" i="14" s="1"/>
  <c r="S8" i="14" s="1"/>
  <c r="J8" i="13"/>
  <c r="J8" i="14" s="1"/>
  <c r="K8" i="13"/>
  <c r="K8" i="14" s="1"/>
  <c r="R8" i="14" s="1"/>
  <c r="I7" i="14"/>
  <c r="K73" i="14"/>
  <c r="R73" i="14" s="1"/>
  <c r="Y73" i="14" s="1"/>
  <c r="R40" i="14"/>
  <c r="M73" i="14"/>
  <c r="T73" i="14" s="1"/>
  <c r="AA73" i="14" s="1"/>
  <c r="T40" i="14"/>
  <c r="I72" i="14"/>
  <c r="Q72" i="14"/>
  <c r="X72" i="14" s="1"/>
  <c r="W72" i="14" s="1"/>
  <c r="J73" i="14"/>
  <c r="Q40" i="14"/>
  <c r="I40" i="14"/>
  <c r="P39" i="14"/>
  <c r="L73" i="14"/>
  <c r="S73" i="14" s="1"/>
  <c r="Z73" i="14" s="1"/>
  <c r="S40" i="14"/>
  <c r="F74" i="14"/>
  <c r="Q7" i="14"/>
  <c r="P7" i="14" s="1"/>
  <c r="C73" i="14"/>
  <c r="E74" i="14"/>
  <c r="D74" i="14"/>
  <c r="B71" i="14"/>
  <c r="Q71" i="14"/>
  <c r="C8" i="14"/>
  <c r="H12" i="8"/>
  <c r="V13" i="8" s="1"/>
  <c r="G12" i="8"/>
  <c r="U13" i="8" s="1"/>
  <c r="L10" i="10"/>
  <c r="A1" i="14"/>
  <c r="A1" i="13"/>
  <c r="A1" i="12"/>
  <c r="A1" i="24"/>
  <c r="A1" i="11"/>
  <c r="W13" i="8" l="1"/>
  <c r="C14" i="10"/>
  <c r="P13" i="10"/>
  <c r="G13" i="10"/>
  <c r="T12" i="10"/>
  <c r="C47" i="10" s="1"/>
  <c r="B46" i="10"/>
  <c r="H46" i="10" s="1"/>
  <c r="U11" i="10"/>
  <c r="D46" i="10" s="1"/>
  <c r="Q12" i="10"/>
  <c r="F13" i="10"/>
  <c r="S12" i="10"/>
  <c r="B14" i="10"/>
  <c r="O13" i="10"/>
  <c r="P40" i="14"/>
  <c r="J74" i="14"/>
  <c r="I41" i="14"/>
  <c r="Q41" i="14"/>
  <c r="I73" i="14"/>
  <c r="M74" i="14"/>
  <c r="T41" i="14"/>
  <c r="K74" i="14"/>
  <c r="R74" i="14" s="1"/>
  <c r="Y74" i="14" s="1"/>
  <c r="R41" i="14"/>
  <c r="I8" i="14"/>
  <c r="L74" i="14"/>
  <c r="S74" i="14" s="1"/>
  <c r="Z74" i="14" s="1"/>
  <c r="S41" i="14"/>
  <c r="P72" i="14"/>
  <c r="B73" i="14"/>
  <c r="Q73" i="14"/>
  <c r="Q8" i="14"/>
  <c r="P8" i="14" s="1"/>
  <c r="C74" i="14"/>
  <c r="P71" i="14"/>
  <c r="X71" i="14"/>
  <c r="W71" i="14" s="1"/>
  <c r="B8" i="14"/>
  <c r="H13" i="8"/>
  <c r="V14" i="8" s="1"/>
  <c r="G13" i="8"/>
  <c r="U14" i="8" s="1"/>
  <c r="W14" i="8" s="1"/>
  <c r="A1" i="6"/>
  <c r="A1" i="1"/>
  <c r="A1" i="10"/>
  <c r="A1" i="8"/>
  <c r="A2" i="23"/>
  <c r="A2" i="3"/>
  <c r="A2" i="19"/>
  <c r="A2" i="20"/>
  <c r="A2" i="21"/>
  <c r="A2" i="18"/>
  <c r="A2" i="17"/>
  <c r="A2" i="16"/>
  <c r="L13" i="3"/>
  <c r="L12" i="3"/>
  <c r="M12" i="3" l="1"/>
  <c r="V12" i="3" s="1"/>
  <c r="C9" i="20"/>
  <c r="U12" i="3"/>
  <c r="M13" i="3"/>
  <c r="V13" i="3" s="1"/>
  <c r="C10" i="20"/>
  <c r="U13" i="3"/>
  <c r="F14" i="10"/>
  <c r="S13" i="10"/>
  <c r="I74" i="14"/>
  <c r="G14" i="10"/>
  <c r="T13" i="10"/>
  <c r="C48" i="10" s="1"/>
  <c r="Q13" i="10"/>
  <c r="B15" i="10"/>
  <c r="O15" i="10" s="1"/>
  <c r="Q15" i="10" s="1"/>
  <c r="O14" i="10"/>
  <c r="Q14" i="10" s="1"/>
  <c r="B47" i="10"/>
  <c r="H47" i="10" s="1"/>
  <c r="U12" i="10"/>
  <c r="D47" i="10" s="1"/>
  <c r="C15" i="10"/>
  <c r="P15" i="10" s="1"/>
  <c r="P14" i="10"/>
  <c r="T74" i="14"/>
  <c r="AA74" i="14" s="1"/>
  <c r="P41" i="14"/>
  <c r="B74" i="14"/>
  <c r="Q74" i="14"/>
  <c r="P73" i="14"/>
  <c r="K9" i="20" s="1"/>
  <c r="X73" i="14"/>
  <c r="W73" i="14" s="1"/>
  <c r="G14" i="8"/>
  <c r="U15" i="8" s="1"/>
  <c r="H14" i="8"/>
  <c r="V15" i="8" s="1"/>
  <c r="W15" i="8" l="1"/>
  <c r="G15" i="10"/>
  <c r="T14" i="10"/>
  <c r="C49" i="10" s="1"/>
  <c r="B48" i="10"/>
  <c r="H48" i="10" s="1"/>
  <c r="U13" i="10"/>
  <c r="D48" i="10" s="1"/>
  <c r="F15" i="10"/>
  <c r="S14" i="10"/>
  <c r="P74" i="14"/>
  <c r="K10" i="20" s="1"/>
  <c r="X74" i="14"/>
  <c r="W74" i="14" s="1"/>
  <c r="G15" i="8"/>
  <c r="U16" i="8" s="1"/>
  <c r="H15" i="8"/>
  <c r="V16" i="8" s="1"/>
  <c r="W16" i="8" l="1"/>
  <c r="F16" i="10"/>
  <c r="S15" i="10"/>
  <c r="U14" i="10"/>
  <c r="D49" i="10" s="1"/>
  <c r="B49" i="10"/>
  <c r="H49" i="10" s="1"/>
  <c r="G16" i="10"/>
  <c r="T15" i="10"/>
  <c r="C50" i="10" s="1"/>
  <c r="G16" i="8"/>
  <c r="U17" i="8" s="1"/>
  <c r="H16" i="8"/>
  <c r="V17" i="8" s="1"/>
  <c r="W17" i="8" l="1"/>
  <c r="G17" i="10"/>
  <c r="T17" i="10" s="1"/>
  <c r="T16" i="10"/>
  <c r="B50" i="10"/>
  <c r="H50" i="10" s="1"/>
  <c r="U15" i="10"/>
  <c r="D50" i="10" s="1"/>
  <c r="F17" i="10"/>
  <c r="S17" i="10" s="1"/>
  <c r="S16" i="10"/>
  <c r="G17" i="8"/>
  <c r="U18" i="8" s="1"/>
  <c r="H17" i="8"/>
  <c r="V18" i="8" s="1"/>
  <c r="W18" i="8" l="1"/>
  <c r="U17" i="10"/>
  <c r="U16" i="10"/>
  <c r="G18" i="8"/>
  <c r="U19" i="8" s="1"/>
  <c r="H18" i="8"/>
  <c r="V19" i="8" s="1"/>
  <c r="A35" i="8"/>
  <c r="I33" i="3"/>
  <c r="I34" i="3" s="1"/>
  <c r="I35" i="3" s="1"/>
  <c r="I36" i="3" s="1"/>
  <c r="I37" i="3" s="1"/>
  <c r="I38" i="3" s="1"/>
  <c r="I39" i="3" s="1"/>
  <c r="F43" i="24"/>
  <c r="E43" i="24"/>
  <c r="D43" i="24"/>
  <c r="C43" i="24"/>
  <c r="T143" i="11"/>
  <c r="S143" i="11"/>
  <c r="R143" i="11"/>
  <c r="Q143" i="11"/>
  <c r="T142" i="11"/>
  <c r="S142" i="11"/>
  <c r="R142" i="11"/>
  <c r="Q142" i="11"/>
  <c r="T141" i="11"/>
  <c r="S141" i="11"/>
  <c r="R141" i="11"/>
  <c r="Q141" i="11"/>
  <c r="T140" i="11"/>
  <c r="S140" i="11"/>
  <c r="R140" i="11"/>
  <c r="Q140" i="11"/>
  <c r="T139" i="11"/>
  <c r="S139" i="11"/>
  <c r="R139" i="11"/>
  <c r="Q139" i="11"/>
  <c r="T138" i="11"/>
  <c r="S138" i="11"/>
  <c r="R138" i="11"/>
  <c r="Q138" i="11"/>
  <c r="T137" i="11"/>
  <c r="S137" i="11"/>
  <c r="R137" i="11"/>
  <c r="Q137" i="11"/>
  <c r="T136" i="11"/>
  <c r="S136" i="11"/>
  <c r="R136" i="11"/>
  <c r="Q136" i="11"/>
  <c r="T135" i="11"/>
  <c r="S135" i="11"/>
  <c r="R135" i="11"/>
  <c r="Q135" i="11"/>
  <c r="T134" i="11"/>
  <c r="S134" i="11"/>
  <c r="R134" i="11"/>
  <c r="Q134" i="11"/>
  <c r="T133" i="11"/>
  <c r="S133" i="11"/>
  <c r="R133" i="11"/>
  <c r="Q133" i="11"/>
  <c r="T132" i="11"/>
  <c r="S132" i="11"/>
  <c r="R132" i="11"/>
  <c r="Q132" i="11"/>
  <c r="T131" i="11"/>
  <c r="S131" i="11"/>
  <c r="R131" i="11"/>
  <c r="Q131" i="11"/>
  <c r="T130" i="11"/>
  <c r="S130" i="11"/>
  <c r="R130" i="11"/>
  <c r="Q130" i="11"/>
  <c r="T129" i="11"/>
  <c r="S129" i="11"/>
  <c r="R129" i="11"/>
  <c r="Q129" i="11"/>
  <c r="T128" i="11"/>
  <c r="S128" i="11"/>
  <c r="R128" i="11"/>
  <c r="Q128" i="11"/>
  <c r="T127" i="11"/>
  <c r="S127" i="11"/>
  <c r="R127" i="11"/>
  <c r="Q127" i="11"/>
  <c r="T126" i="11"/>
  <c r="S126" i="11"/>
  <c r="R126" i="11"/>
  <c r="Q126" i="11"/>
  <c r="T125" i="11"/>
  <c r="S125" i="11"/>
  <c r="R125" i="11"/>
  <c r="Q125" i="11"/>
  <c r="T124" i="11"/>
  <c r="S124" i="11"/>
  <c r="R124" i="11"/>
  <c r="Q124" i="11"/>
  <c r="T123" i="11"/>
  <c r="S123" i="11"/>
  <c r="R123" i="11"/>
  <c r="Q123" i="11"/>
  <c r="T122" i="11"/>
  <c r="S122" i="11"/>
  <c r="R122" i="11"/>
  <c r="Q122" i="11"/>
  <c r="T121" i="11"/>
  <c r="S121" i="11"/>
  <c r="R121" i="11"/>
  <c r="Q121" i="11"/>
  <c r="T120" i="11"/>
  <c r="S120" i="11"/>
  <c r="R120" i="11"/>
  <c r="Q120" i="11"/>
  <c r="T119" i="11"/>
  <c r="S119" i="11"/>
  <c r="R119" i="11"/>
  <c r="Q119" i="11"/>
  <c r="T118" i="11"/>
  <c r="S118" i="11"/>
  <c r="R118" i="11"/>
  <c r="Q118" i="11"/>
  <c r="T117" i="11"/>
  <c r="S117" i="11"/>
  <c r="R117" i="11"/>
  <c r="Q117" i="11"/>
  <c r="T116" i="11"/>
  <c r="S116" i="11"/>
  <c r="R116" i="11"/>
  <c r="Q116" i="11"/>
  <c r="T115" i="11"/>
  <c r="S115" i="11"/>
  <c r="R115" i="11"/>
  <c r="Q115" i="11"/>
  <c r="T114" i="11"/>
  <c r="S114" i="11"/>
  <c r="R114" i="11"/>
  <c r="Q114" i="11"/>
  <c r="T113" i="11"/>
  <c r="S113" i="11"/>
  <c r="R113" i="11"/>
  <c r="Q113" i="11"/>
  <c r="T112" i="11"/>
  <c r="S112" i="11"/>
  <c r="R112" i="11"/>
  <c r="Q112" i="11"/>
  <c r="T111" i="11"/>
  <c r="S111" i="11"/>
  <c r="R111" i="11"/>
  <c r="Q111" i="11"/>
  <c r="T110" i="11"/>
  <c r="S110" i="11"/>
  <c r="R110" i="11"/>
  <c r="Q110" i="11"/>
  <c r="T109" i="11"/>
  <c r="S109" i="11"/>
  <c r="R109" i="11"/>
  <c r="Q109" i="11"/>
  <c r="T108" i="11"/>
  <c r="S108" i="11"/>
  <c r="R108" i="11"/>
  <c r="Q108" i="11"/>
  <c r="T107" i="11"/>
  <c r="S107" i="11"/>
  <c r="R107" i="11"/>
  <c r="Q107" i="11"/>
  <c r="T106" i="11"/>
  <c r="S106" i="11"/>
  <c r="R106" i="11"/>
  <c r="Q106" i="11"/>
  <c r="T105" i="11"/>
  <c r="S105" i="11"/>
  <c r="R105" i="11"/>
  <c r="Q105" i="11"/>
  <c r="T104" i="11"/>
  <c r="S104" i="11"/>
  <c r="R104" i="11"/>
  <c r="Q104" i="11"/>
  <c r="T103" i="11"/>
  <c r="S103" i="11"/>
  <c r="R103" i="11"/>
  <c r="Q103" i="11"/>
  <c r="T102" i="11"/>
  <c r="S102" i="11"/>
  <c r="R102" i="11"/>
  <c r="Q102" i="11"/>
  <c r="T101" i="11"/>
  <c r="S101" i="11"/>
  <c r="R101" i="11"/>
  <c r="Q101" i="11"/>
  <c r="T100" i="11"/>
  <c r="S100" i="11"/>
  <c r="R100" i="11"/>
  <c r="Q100" i="11"/>
  <c r="T99" i="11"/>
  <c r="S99" i="11"/>
  <c r="R99" i="11"/>
  <c r="Q99" i="11"/>
  <c r="T98" i="11"/>
  <c r="S98" i="11"/>
  <c r="R98" i="11"/>
  <c r="Q98" i="11"/>
  <c r="T97" i="11"/>
  <c r="S97" i="11"/>
  <c r="R97" i="11"/>
  <c r="Q97" i="11"/>
  <c r="T96" i="11"/>
  <c r="S96" i="11"/>
  <c r="R96" i="11"/>
  <c r="Q96" i="11"/>
  <c r="T95" i="11"/>
  <c r="S95" i="11"/>
  <c r="R95" i="11"/>
  <c r="Q95" i="11"/>
  <c r="T94" i="11"/>
  <c r="S94" i="11"/>
  <c r="R94" i="11"/>
  <c r="Q94" i="11"/>
  <c r="T93" i="11"/>
  <c r="S93" i="11"/>
  <c r="R93" i="11"/>
  <c r="Q93" i="11"/>
  <c r="T92" i="11"/>
  <c r="S92" i="11"/>
  <c r="R92" i="11"/>
  <c r="Q92" i="11"/>
  <c r="T91" i="11"/>
  <c r="S91" i="11"/>
  <c r="R91" i="11"/>
  <c r="Q91" i="11"/>
  <c r="T90" i="11"/>
  <c r="S90" i="11"/>
  <c r="R90" i="11"/>
  <c r="Q90" i="11"/>
  <c r="T89" i="11"/>
  <c r="S89" i="11"/>
  <c r="R89" i="11"/>
  <c r="Q89" i="11"/>
  <c r="T88" i="11"/>
  <c r="S88" i="11"/>
  <c r="R88" i="11"/>
  <c r="Q88" i="11"/>
  <c r="T87" i="11"/>
  <c r="S87" i="11"/>
  <c r="R87" i="11"/>
  <c r="Q87" i="11"/>
  <c r="T86" i="11"/>
  <c r="S86" i="11"/>
  <c r="R86" i="11"/>
  <c r="Q86" i="11"/>
  <c r="T85" i="11"/>
  <c r="S85" i="11"/>
  <c r="R85" i="11"/>
  <c r="Q85" i="11"/>
  <c r="T84" i="11"/>
  <c r="S84" i="11"/>
  <c r="R84" i="11"/>
  <c r="Q84" i="11"/>
  <c r="T83" i="11"/>
  <c r="S83" i="11"/>
  <c r="R83" i="11"/>
  <c r="Q83" i="11"/>
  <c r="T82" i="11"/>
  <c r="S82" i="11"/>
  <c r="R82" i="11"/>
  <c r="Q82" i="11"/>
  <c r="T81" i="11"/>
  <c r="S81" i="11"/>
  <c r="R81" i="11"/>
  <c r="Q81" i="11"/>
  <c r="T80" i="11"/>
  <c r="S80" i="11"/>
  <c r="R80" i="11"/>
  <c r="Q80" i="11"/>
  <c r="T79" i="11"/>
  <c r="S79" i="11"/>
  <c r="R79" i="11"/>
  <c r="Q79" i="11"/>
  <c r="T78" i="11"/>
  <c r="S78" i="11"/>
  <c r="R78" i="11"/>
  <c r="Q78" i="11"/>
  <c r="T77" i="11"/>
  <c r="S77" i="11"/>
  <c r="R77" i="11"/>
  <c r="Q77" i="11"/>
  <c r="T73" i="11"/>
  <c r="S73" i="11"/>
  <c r="R73" i="11"/>
  <c r="Q73" i="11"/>
  <c r="T72" i="11"/>
  <c r="S72" i="11"/>
  <c r="R72" i="11"/>
  <c r="Q72" i="11"/>
  <c r="T71" i="11"/>
  <c r="S71" i="11"/>
  <c r="R71" i="11"/>
  <c r="Q71" i="11"/>
  <c r="T70" i="11"/>
  <c r="S70" i="11"/>
  <c r="R70" i="11"/>
  <c r="Q70" i="11"/>
  <c r="T69" i="11"/>
  <c r="S69" i="11"/>
  <c r="R69" i="11"/>
  <c r="Q69" i="11"/>
  <c r="T68" i="11"/>
  <c r="S68" i="11"/>
  <c r="R68" i="11"/>
  <c r="Q68" i="11"/>
  <c r="T67" i="11"/>
  <c r="S67" i="11"/>
  <c r="R67" i="11"/>
  <c r="Q67" i="11"/>
  <c r="T66" i="11"/>
  <c r="S66" i="11"/>
  <c r="R66" i="11"/>
  <c r="Q66" i="11"/>
  <c r="T65" i="11"/>
  <c r="S65" i="11"/>
  <c r="R65" i="11"/>
  <c r="Q65" i="11"/>
  <c r="T64" i="11"/>
  <c r="S64" i="11"/>
  <c r="R64" i="11"/>
  <c r="Q64" i="11"/>
  <c r="T63" i="11"/>
  <c r="S63" i="11"/>
  <c r="R63" i="11"/>
  <c r="Q63" i="11"/>
  <c r="T62" i="11"/>
  <c r="S62" i="11"/>
  <c r="R62" i="11"/>
  <c r="Q62" i="11"/>
  <c r="T61" i="11"/>
  <c r="S61" i="11"/>
  <c r="R61" i="11"/>
  <c r="Q61" i="11"/>
  <c r="T60" i="11"/>
  <c r="S60" i="11"/>
  <c r="R60" i="11"/>
  <c r="Q60" i="11"/>
  <c r="T59" i="11"/>
  <c r="S59" i="11"/>
  <c r="R59" i="11"/>
  <c r="Q59" i="11"/>
  <c r="T58" i="11"/>
  <c r="S58" i="11"/>
  <c r="R58" i="11"/>
  <c r="Q58" i="11"/>
  <c r="T57" i="11"/>
  <c r="S57" i="11"/>
  <c r="R57" i="11"/>
  <c r="Q57" i="11"/>
  <c r="T56" i="11"/>
  <c r="S56" i="11"/>
  <c r="R56" i="11"/>
  <c r="Q56" i="11"/>
  <c r="T55" i="11"/>
  <c r="S55" i="11"/>
  <c r="R55" i="11"/>
  <c r="Q55" i="11"/>
  <c r="T54" i="11"/>
  <c r="S54" i="11"/>
  <c r="R54" i="11"/>
  <c r="Q54" i="11"/>
  <c r="T53" i="11"/>
  <c r="S53" i="11"/>
  <c r="R53" i="11"/>
  <c r="Q53" i="11"/>
  <c r="T52" i="11"/>
  <c r="S52" i="11"/>
  <c r="R52" i="11"/>
  <c r="Q52" i="11"/>
  <c r="T51" i="11"/>
  <c r="S51" i="11"/>
  <c r="R51" i="11"/>
  <c r="Q51" i="11"/>
  <c r="T50" i="11"/>
  <c r="S50" i="11"/>
  <c r="R50" i="11"/>
  <c r="Q50" i="11"/>
  <c r="T49" i="11"/>
  <c r="S49" i="11"/>
  <c r="R49" i="11"/>
  <c r="Q49" i="11"/>
  <c r="T48" i="11"/>
  <c r="S48" i="11"/>
  <c r="R48" i="11"/>
  <c r="Q48" i="11"/>
  <c r="T47" i="11"/>
  <c r="S47" i="11"/>
  <c r="R47" i="11"/>
  <c r="Q47" i="11"/>
  <c r="T46" i="11"/>
  <c r="S46" i="11"/>
  <c r="R46" i="11"/>
  <c r="Q46" i="11"/>
  <c r="T45" i="11"/>
  <c r="S45" i="11"/>
  <c r="R45" i="11"/>
  <c r="Q45" i="11"/>
  <c r="T44" i="11"/>
  <c r="S44" i="11"/>
  <c r="R44" i="11"/>
  <c r="Q44" i="11"/>
  <c r="T43" i="11"/>
  <c r="S43" i="11"/>
  <c r="R43" i="11"/>
  <c r="Q43" i="11"/>
  <c r="T42" i="11"/>
  <c r="S42" i="11"/>
  <c r="R42" i="11"/>
  <c r="Q42" i="11"/>
  <c r="T41" i="11"/>
  <c r="S41" i="11"/>
  <c r="R41" i="11"/>
  <c r="Q41" i="11"/>
  <c r="T40" i="11"/>
  <c r="S40" i="11"/>
  <c r="R40" i="11"/>
  <c r="Q40" i="11"/>
  <c r="T39" i="11"/>
  <c r="S39" i="11"/>
  <c r="R39" i="11"/>
  <c r="Q39" i="11"/>
  <c r="T38" i="11"/>
  <c r="S38" i="11"/>
  <c r="R38" i="11"/>
  <c r="Q38" i="11"/>
  <c r="T37" i="11"/>
  <c r="S37" i="11"/>
  <c r="R37" i="11"/>
  <c r="Q37" i="11"/>
  <c r="T36" i="11"/>
  <c r="S36" i="11"/>
  <c r="R36" i="11"/>
  <c r="Q36" i="11"/>
  <c r="T35" i="11"/>
  <c r="S35" i="11"/>
  <c r="R35" i="11"/>
  <c r="Q35" i="11"/>
  <c r="T34" i="11"/>
  <c r="S34" i="11"/>
  <c r="R34" i="11"/>
  <c r="Q34" i="11"/>
  <c r="T33" i="11"/>
  <c r="S33" i="11"/>
  <c r="R33" i="11"/>
  <c r="Q33" i="11"/>
  <c r="T32" i="11"/>
  <c r="S32" i="11"/>
  <c r="R32" i="11"/>
  <c r="Q32" i="11"/>
  <c r="T31" i="11"/>
  <c r="S31" i="11"/>
  <c r="R31" i="11"/>
  <c r="Q31" i="11"/>
  <c r="T30" i="11"/>
  <c r="S30" i="11"/>
  <c r="R30" i="11"/>
  <c r="Q30" i="11"/>
  <c r="T29" i="11"/>
  <c r="S29" i="11"/>
  <c r="R29" i="11"/>
  <c r="Q29" i="11"/>
  <c r="T28" i="11"/>
  <c r="S28" i="11"/>
  <c r="R28" i="11"/>
  <c r="Q28" i="11"/>
  <c r="T27" i="11"/>
  <c r="S27" i="11"/>
  <c r="R27" i="11"/>
  <c r="Q27" i="11"/>
  <c r="T26" i="11"/>
  <c r="S26" i="11"/>
  <c r="R26" i="11"/>
  <c r="Q26" i="11"/>
  <c r="T25" i="11"/>
  <c r="S25" i="11"/>
  <c r="R25" i="11"/>
  <c r="Q25" i="11"/>
  <c r="T24" i="11"/>
  <c r="S24" i="11"/>
  <c r="R24" i="11"/>
  <c r="Q24" i="11"/>
  <c r="T23" i="11"/>
  <c r="S23" i="11"/>
  <c r="R23" i="11"/>
  <c r="Q23" i="11"/>
  <c r="T22" i="11"/>
  <c r="S22" i="11"/>
  <c r="R22" i="11"/>
  <c r="Q22" i="11"/>
  <c r="T21" i="11"/>
  <c r="S21" i="11"/>
  <c r="R21" i="11"/>
  <c r="Q21" i="11"/>
  <c r="T20" i="11"/>
  <c r="S20" i="11"/>
  <c r="R20" i="11"/>
  <c r="Q20" i="11"/>
  <c r="T19" i="11"/>
  <c r="S19" i="11"/>
  <c r="R19" i="11"/>
  <c r="Q19" i="11"/>
  <c r="T18" i="11"/>
  <c r="S18" i="11"/>
  <c r="R18" i="11"/>
  <c r="Q18" i="11"/>
  <c r="T17" i="11"/>
  <c r="S17" i="11"/>
  <c r="R17" i="11"/>
  <c r="Q17" i="11"/>
  <c r="T16" i="11"/>
  <c r="S16" i="11"/>
  <c r="R16" i="11"/>
  <c r="Q16" i="11"/>
  <c r="T15" i="11"/>
  <c r="S15" i="11"/>
  <c r="R15" i="11"/>
  <c r="Q15" i="11"/>
  <c r="T14" i="11"/>
  <c r="S14" i="11"/>
  <c r="R14" i="11"/>
  <c r="Q14" i="11"/>
  <c r="T13" i="11"/>
  <c r="S13" i="11"/>
  <c r="R13" i="11"/>
  <c r="Q13" i="11"/>
  <c r="T12" i="11"/>
  <c r="S12" i="11"/>
  <c r="R12" i="11"/>
  <c r="Q12" i="11"/>
  <c r="T11" i="11"/>
  <c r="S11" i="11"/>
  <c r="R11" i="11"/>
  <c r="Q11" i="11"/>
  <c r="T10" i="11"/>
  <c r="S10" i="11"/>
  <c r="R10" i="11"/>
  <c r="Q10" i="11"/>
  <c r="T9" i="11"/>
  <c r="S9" i="11"/>
  <c r="R9" i="11"/>
  <c r="Q9" i="11"/>
  <c r="T8" i="11"/>
  <c r="S8" i="11"/>
  <c r="R8" i="11"/>
  <c r="Q8" i="11"/>
  <c r="T7" i="11"/>
  <c r="S7" i="11"/>
  <c r="R7" i="11"/>
  <c r="Q7" i="11"/>
  <c r="D7" i="21"/>
  <c r="D8" i="21"/>
  <c r="D9" i="21"/>
  <c r="D10" i="21"/>
  <c r="C80" i="24"/>
  <c r="D80" i="24"/>
  <c r="E80" i="24"/>
  <c r="F80" i="24"/>
  <c r="F81" i="24" s="1"/>
  <c r="B9" i="20"/>
  <c r="O9" i="20" s="1"/>
  <c r="B10" i="20"/>
  <c r="O10" i="20" s="1"/>
  <c r="E11" i="21"/>
  <c r="E12" i="21"/>
  <c r="E13" i="21"/>
  <c r="E14" i="21"/>
  <c r="E15" i="21"/>
  <c r="E16" i="21"/>
  <c r="E17" i="21"/>
  <c r="E18" i="21"/>
  <c r="E19" i="21"/>
  <c r="E20" i="21"/>
  <c r="E21" i="21"/>
  <c r="E22" i="21"/>
  <c r="E23" i="21"/>
  <c r="E24" i="21"/>
  <c r="E25" i="21"/>
  <c r="E26" i="21"/>
  <c r="E27" i="21"/>
  <c r="E28" i="21"/>
  <c r="E29" i="21"/>
  <c r="E30" i="21"/>
  <c r="E31" i="21"/>
  <c r="E32" i="21"/>
  <c r="E33" i="21"/>
  <c r="E34" i="21"/>
  <c r="E35" i="21"/>
  <c r="D81" i="24"/>
  <c r="D82" i="24" s="1"/>
  <c r="C44" i="12"/>
  <c r="A31" i="10"/>
  <c r="A32" i="10" s="1"/>
  <c r="A33" i="10" s="1"/>
  <c r="A34" i="10" s="1"/>
  <c r="A35" i="10" s="1"/>
  <c r="A36" i="10" s="1"/>
  <c r="O34" i="3"/>
  <c r="O35" i="3" s="1"/>
  <c r="O36" i="3" s="1"/>
  <c r="O37" i="3" s="1"/>
  <c r="O38" i="3" s="1"/>
  <c r="O39" i="3" s="1"/>
  <c r="L39" i="3"/>
  <c r="M39" i="3" s="1"/>
  <c r="L38" i="3"/>
  <c r="M38" i="3" s="1"/>
  <c r="L37" i="3"/>
  <c r="L36" i="3"/>
  <c r="L35" i="3"/>
  <c r="L34" i="3"/>
  <c r="A8" i="20"/>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B4" i="21"/>
  <c r="A53" i="20"/>
  <c r="A54" i="20" s="1"/>
  <c r="A55" i="20" s="1"/>
  <c r="A56" i="20" s="1"/>
  <c r="A57" i="20" s="1"/>
  <c r="A58" i="20" s="1"/>
  <c r="A59" i="20" s="1"/>
  <c r="A60" i="20" s="1"/>
  <c r="A61" i="20" s="1"/>
  <c r="A62" i="20" s="1"/>
  <c r="A63" i="20" s="1"/>
  <c r="S33" i="3"/>
  <c r="L33" i="3"/>
  <c r="M33" i="3" s="1"/>
  <c r="S32" i="3"/>
  <c r="L32" i="3"/>
  <c r="M32" i="3" s="1"/>
  <c r="L31" i="3"/>
  <c r="M31" i="3" s="1"/>
  <c r="S30" i="3"/>
  <c r="L30" i="3"/>
  <c r="M30" i="3" s="1"/>
  <c r="S29" i="3"/>
  <c r="L29" i="3"/>
  <c r="M29" i="3" s="1"/>
  <c r="S28" i="3"/>
  <c r="L28" i="3"/>
  <c r="L27" i="3"/>
  <c r="M27" i="3" s="1"/>
  <c r="S26" i="3"/>
  <c r="L26" i="3"/>
  <c r="L25" i="3"/>
  <c r="M25" i="3" s="1"/>
  <c r="L24" i="3"/>
  <c r="M24" i="3" s="1"/>
  <c r="L23" i="3"/>
  <c r="L22" i="3"/>
  <c r="L21" i="3"/>
  <c r="M21" i="3" s="1"/>
  <c r="S20" i="3"/>
  <c r="L20" i="3"/>
  <c r="L19" i="3"/>
  <c r="S18" i="3"/>
  <c r="L18" i="3"/>
  <c r="M18" i="3" s="1"/>
  <c r="L17" i="3"/>
  <c r="L16" i="3"/>
  <c r="M16" i="3" s="1"/>
  <c r="L15" i="3"/>
  <c r="L14" i="3"/>
  <c r="M14" i="3" s="1"/>
  <c r="S15" i="3"/>
  <c r="B31" i="19"/>
  <c r="B30" i="19"/>
  <c r="B29" i="19"/>
  <c r="B28" i="19"/>
  <c r="B27" i="19"/>
  <c r="B26" i="19"/>
  <c r="B25" i="19"/>
  <c r="B24" i="19"/>
  <c r="B23" i="19"/>
  <c r="B22" i="19"/>
  <c r="B21" i="19"/>
  <c r="B20" i="19"/>
  <c r="B19" i="19"/>
  <c r="B18" i="19"/>
  <c r="B17" i="19"/>
  <c r="B16" i="19"/>
  <c r="B15" i="19"/>
  <c r="B14" i="19"/>
  <c r="B13" i="19"/>
  <c r="B12" i="19"/>
  <c r="A81" i="24"/>
  <c r="A82" i="24" s="1"/>
  <c r="A83" i="24" s="1"/>
  <c r="A84" i="24" s="1"/>
  <c r="A85" i="24" s="1"/>
  <c r="A86" i="24" s="1"/>
  <c r="A87" i="24" s="1"/>
  <c r="A88" i="24" s="1"/>
  <c r="A89" i="24" s="1"/>
  <c r="A90" i="24" s="1"/>
  <c r="A91" i="24" s="1"/>
  <c r="A92" i="24" s="1"/>
  <c r="A93" i="24" s="1"/>
  <c r="A94" i="24" s="1"/>
  <c r="A95" i="24" s="1"/>
  <c r="A96" i="24" s="1"/>
  <c r="A97" i="24" s="1"/>
  <c r="A98" i="24" s="1"/>
  <c r="A44" i="24"/>
  <c r="A45" i="24" s="1"/>
  <c r="A46" i="24" s="1"/>
  <c r="A47" i="24" s="1"/>
  <c r="A48" i="24" s="1"/>
  <c r="A49" i="24" s="1"/>
  <c r="A50" i="24" s="1"/>
  <c r="A51" i="24" s="1"/>
  <c r="A52" i="24" s="1"/>
  <c r="A53" i="24" s="1"/>
  <c r="A54" i="24" s="1"/>
  <c r="A55" i="24" s="1"/>
  <c r="A56" i="24" s="1"/>
  <c r="A57" i="24" s="1"/>
  <c r="A58" i="24" s="1"/>
  <c r="A59" i="24" s="1"/>
  <c r="A60" i="24" s="1"/>
  <c r="A61" i="24" s="1"/>
  <c r="M19" i="3"/>
  <c r="L7" i="23"/>
  <c r="K7" i="23"/>
  <c r="J7" i="23"/>
  <c r="L6" i="23"/>
  <c r="K6" i="23"/>
  <c r="J6" i="23"/>
  <c r="L5" i="23"/>
  <c r="K5" i="23"/>
  <c r="J5" i="23"/>
  <c r="L20" i="23"/>
  <c r="K20" i="23"/>
  <c r="J20" i="23"/>
  <c r="L19" i="23"/>
  <c r="K19" i="23"/>
  <c r="J19" i="23"/>
  <c r="L18" i="23"/>
  <c r="K18" i="23"/>
  <c r="J18" i="23"/>
  <c r="A8" i="10"/>
  <c r="A9" i="10" s="1"/>
  <c r="A10" i="10" s="1"/>
  <c r="L10" i="21"/>
  <c r="H10" i="21"/>
  <c r="G10" i="21"/>
  <c r="F10" i="21"/>
  <c r="E10" i="21"/>
  <c r="L9" i="21"/>
  <c r="H9" i="21"/>
  <c r="G9" i="21"/>
  <c r="F9" i="21"/>
  <c r="E9" i="21"/>
  <c r="L8" i="21"/>
  <c r="K8" i="21"/>
  <c r="J8" i="21"/>
  <c r="I8" i="21"/>
  <c r="H8" i="21"/>
  <c r="G8" i="21"/>
  <c r="F8" i="21"/>
  <c r="E8" i="21"/>
  <c r="O7" i="21"/>
  <c r="N7" i="21"/>
  <c r="M7" i="21"/>
  <c r="L7" i="21"/>
  <c r="K7" i="21"/>
  <c r="J7" i="21"/>
  <c r="I7" i="21"/>
  <c r="G7" i="21"/>
  <c r="F7" i="21"/>
  <c r="E7" i="21"/>
  <c r="S23" i="3"/>
  <c r="A8" i="19"/>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S27" i="3"/>
  <c r="B7" i="8"/>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E36" i="21" l="1"/>
  <c r="G45" i="12"/>
  <c r="O10" i="12"/>
  <c r="G10" i="12"/>
  <c r="O45" i="12"/>
  <c r="L10" i="12"/>
  <c r="D10" i="12"/>
  <c r="L45" i="12"/>
  <c r="D45" i="12"/>
  <c r="M10" i="12"/>
  <c r="M45" i="12"/>
  <c r="E45" i="12"/>
  <c r="E10" i="12"/>
  <c r="E44" i="24"/>
  <c r="F45" i="12"/>
  <c r="N10" i="12"/>
  <c r="F10" i="12"/>
  <c r="N45" i="12"/>
  <c r="C21" i="20"/>
  <c r="D21" i="21" s="1"/>
  <c r="C13" i="20"/>
  <c r="D13" i="21" s="1"/>
  <c r="W19" i="8"/>
  <c r="A31" i="20"/>
  <c r="A32" i="20" s="1"/>
  <c r="A33" i="20" s="1"/>
  <c r="A34" i="20" s="1"/>
  <c r="A35" i="20" s="1"/>
  <c r="H19" i="8"/>
  <c r="V20" i="8" s="1"/>
  <c r="G19" i="8"/>
  <c r="U20" i="8" s="1"/>
  <c r="W20" i="8" s="1"/>
  <c r="C81" i="24"/>
  <c r="C82" i="24" s="1"/>
  <c r="C83" i="24" s="1"/>
  <c r="F44" i="24"/>
  <c r="E81" i="24"/>
  <c r="E82" i="24" s="1"/>
  <c r="E83" i="24" s="1"/>
  <c r="C44" i="24"/>
  <c r="D44" i="24"/>
  <c r="D83" i="24"/>
  <c r="E45" i="24"/>
  <c r="F82" i="24"/>
  <c r="F45" i="24"/>
  <c r="K25" i="23"/>
  <c r="K10" i="23"/>
  <c r="K23" i="23"/>
  <c r="K11" i="23"/>
  <c r="U22" i="3"/>
  <c r="U26" i="3"/>
  <c r="U17" i="3"/>
  <c r="V32" i="3"/>
  <c r="C27" i="20"/>
  <c r="D27" i="21" s="1"/>
  <c r="M22" i="3"/>
  <c r="U34" i="3"/>
  <c r="V27" i="3"/>
  <c r="U25" i="3"/>
  <c r="C18" i="20"/>
  <c r="D18" i="21" s="1"/>
  <c r="C26" i="20"/>
  <c r="D26" i="21" s="1"/>
  <c r="S21" i="3"/>
  <c r="V21" i="3" s="1"/>
  <c r="V29" i="3"/>
  <c r="C24" i="20"/>
  <c r="D24" i="21" s="1"/>
  <c r="S24" i="3"/>
  <c r="V24" i="3" s="1"/>
  <c r="M26" i="3"/>
  <c r="V26" i="3" s="1"/>
  <c r="V18" i="3"/>
  <c r="S16" i="3"/>
  <c r="V16" i="3" s="1"/>
  <c r="U16" i="3"/>
  <c r="U27" i="3"/>
  <c r="K24" i="23"/>
  <c r="K12" i="23"/>
  <c r="D8" i="10"/>
  <c r="C12" i="20"/>
  <c r="D12" i="21" s="1"/>
  <c r="U21" i="3"/>
  <c r="S22" i="3"/>
  <c r="C19" i="20"/>
  <c r="D19" i="21" s="1"/>
  <c r="U28" i="3"/>
  <c r="C25" i="20"/>
  <c r="D25" i="21" s="1"/>
  <c r="S35" i="3"/>
  <c r="C32" i="20"/>
  <c r="D32" i="21" s="1"/>
  <c r="S39" i="3"/>
  <c r="V39" i="3" s="1"/>
  <c r="V33" i="3"/>
  <c r="S17" i="3"/>
  <c r="C14" i="20"/>
  <c r="D14" i="21" s="1"/>
  <c r="U19" i="3"/>
  <c r="C16" i="20"/>
  <c r="D16" i="21" s="1"/>
  <c r="U24" i="3"/>
  <c r="S25" i="3"/>
  <c r="V25" i="3" s="1"/>
  <c r="C22" i="20"/>
  <c r="D22" i="21" s="1"/>
  <c r="U30" i="3"/>
  <c r="U32" i="3"/>
  <c r="C29" i="20"/>
  <c r="D29" i="21" s="1"/>
  <c r="U36" i="3"/>
  <c r="C33" i="20"/>
  <c r="D33" i="21" s="1"/>
  <c r="C11" i="20"/>
  <c r="S37" i="3"/>
  <c r="C34" i="20"/>
  <c r="D34" i="21" s="1"/>
  <c r="V30" i="3"/>
  <c r="U18" i="3"/>
  <c r="C15" i="20"/>
  <c r="D15" i="21" s="1"/>
  <c r="C17" i="20"/>
  <c r="D17" i="21" s="1"/>
  <c r="C20" i="20"/>
  <c r="D20" i="21" s="1"/>
  <c r="C23" i="20"/>
  <c r="S31" i="3"/>
  <c r="V31" i="3" s="1"/>
  <c r="C28" i="20"/>
  <c r="D28" i="21" s="1"/>
  <c r="C30" i="20"/>
  <c r="D30" i="21" s="1"/>
  <c r="S34" i="3"/>
  <c r="C31" i="20"/>
  <c r="D31" i="21" s="1"/>
  <c r="U38" i="3"/>
  <c r="C35" i="20"/>
  <c r="D35" i="21" s="1"/>
  <c r="H7" i="21"/>
  <c r="Q7" i="21" s="1"/>
  <c r="C8" i="19" s="1"/>
  <c r="E8" i="19" s="1"/>
  <c r="C42" i="19" s="1"/>
  <c r="I44" i="13"/>
  <c r="K11" i="10"/>
  <c r="H8" i="10"/>
  <c r="H9" i="10"/>
  <c r="B43" i="13"/>
  <c r="D43" i="13" s="1"/>
  <c r="D42" i="14" s="1"/>
  <c r="K44" i="12"/>
  <c r="I43" i="13"/>
  <c r="J43" i="13" s="1"/>
  <c r="J42" i="14" s="1"/>
  <c r="D11" i="8"/>
  <c r="Q11" i="8" s="1"/>
  <c r="I7" i="8"/>
  <c r="E7" i="8"/>
  <c r="B10" i="18"/>
  <c r="B24" i="18"/>
  <c r="M20" i="3"/>
  <c r="V20" i="3" s="1"/>
  <c r="U20" i="3"/>
  <c r="U33" i="3"/>
  <c r="M34" i="3"/>
  <c r="M36" i="3"/>
  <c r="M28" i="3"/>
  <c r="V28" i="3" s="1"/>
  <c r="U14" i="3"/>
  <c r="U15" i="3"/>
  <c r="U23" i="3"/>
  <c r="S36" i="3"/>
  <c r="S38" i="3"/>
  <c r="V38" i="3" s="1"/>
  <c r="U31" i="3"/>
  <c r="U35" i="3"/>
  <c r="U37" i="3"/>
  <c r="U39" i="3"/>
  <c r="M17" i="3"/>
  <c r="M15" i="3"/>
  <c r="S19" i="3"/>
  <c r="V19" i="3" s="1"/>
  <c r="U29" i="3"/>
  <c r="M35" i="3"/>
  <c r="M37" i="3"/>
  <c r="M23" i="3"/>
  <c r="V23" i="3" s="1"/>
  <c r="S14" i="3"/>
  <c r="C9" i="21"/>
  <c r="P9" i="21" s="1"/>
  <c r="B10" i="19" s="1"/>
  <c r="C10" i="21"/>
  <c r="P10" i="21" s="1"/>
  <c r="B11" i="19" s="1"/>
  <c r="N12" i="12" l="1"/>
  <c r="N47" i="12"/>
  <c r="F47" i="12"/>
  <c r="F12" i="12"/>
  <c r="F11" i="12"/>
  <c r="N11" i="12"/>
  <c r="N46" i="12"/>
  <c r="F46" i="12"/>
  <c r="D45" i="24"/>
  <c r="E11" i="12"/>
  <c r="M11" i="12"/>
  <c r="E46" i="12"/>
  <c r="M46" i="12"/>
  <c r="D11" i="12"/>
  <c r="D46" i="12"/>
  <c r="L11" i="12"/>
  <c r="L46" i="12"/>
  <c r="O47" i="12"/>
  <c r="G47" i="12"/>
  <c r="O12" i="12"/>
  <c r="G12" i="12"/>
  <c r="G11" i="12"/>
  <c r="O46" i="12"/>
  <c r="G46" i="12"/>
  <c r="O11" i="12"/>
  <c r="C36" i="20"/>
  <c r="V37" i="3"/>
  <c r="S9" i="1"/>
  <c r="I6" i="6" s="1"/>
  <c r="I47" i="6" s="1"/>
  <c r="V9" i="1"/>
  <c r="H6" i="6" s="1"/>
  <c r="T9" i="1"/>
  <c r="J6" i="6" s="1"/>
  <c r="J47" i="6" s="1"/>
  <c r="U9" i="1"/>
  <c r="K6" i="6" s="1"/>
  <c r="K47" i="6" s="1"/>
  <c r="T10" i="1"/>
  <c r="S10" i="1"/>
  <c r="U10" i="1"/>
  <c r="V10" i="1"/>
  <c r="H7" i="6" s="1"/>
  <c r="P9" i="1"/>
  <c r="B6" i="6" s="1"/>
  <c r="M9" i="1"/>
  <c r="C6" i="6" s="1"/>
  <c r="C47" i="6" s="1"/>
  <c r="O9" i="1"/>
  <c r="E6" i="6" s="1"/>
  <c r="E47" i="6" s="1"/>
  <c r="N9" i="1"/>
  <c r="D6" i="6" s="1"/>
  <c r="D47" i="6" s="1"/>
  <c r="G20" i="8"/>
  <c r="U21" i="8" s="1"/>
  <c r="H20" i="8"/>
  <c r="V21" i="8" s="1"/>
  <c r="C45" i="24"/>
  <c r="D46" i="24"/>
  <c r="D84" i="24"/>
  <c r="E46" i="24"/>
  <c r="F46" i="24"/>
  <c r="E84" i="24"/>
  <c r="C84" i="24"/>
  <c r="F83" i="24"/>
  <c r="I42" i="10"/>
  <c r="I43" i="10"/>
  <c r="I44" i="10"/>
  <c r="I45" i="10"/>
  <c r="K45" i="12"/>
  <c r="V35" i="3"/>
  <c r="V17" i="3"/>
  <c r="V22" i="3"/>
  <c r="V36" i="3"/>
  <c r="V34" i="3"/>
  <c r="I8" i="8"/>
  <c r="L10" i="8"/>
  <c r="E43" i="13"/>
  <c r="E42" i="14" s="1"/>
  <c r="K43" i="13"/>
  <c r="K42" i="14" s="1"/>
  <c r="R42" i="14" s="1"/>
  <c r="K12" i="10"/>
  <c r="L43" i="13"/>
  <c r="L42" i="14" s="1"/>
  <c r="M43" i="13"/>
  <c r="M42" i="14" s="1"/>
  <c r="B44" i="13"/>
  <c r="C45" i="12"/>
  <c r="D9" i="10"/>
  <c r="J44" i="13"/>
  <c r="J43" i="14" s="1"/>
  <c r="K44" i="13"/>
  <c r="K43" i="14" s="1"/>
  <c r="M44" i="13"/>
  <c r="M43" i="14" s="1"/>
  <c r="L44" i="13"/>
  <c r="L43" i="14" s="1"/>
  <c r="C43" i="13"/>
  <c r="C42" i="14" s="1"/>
  <c r="F43" i="13"/>
  <c r="F42" i="14" s="1"/>
  <c r="H10" i="10"/>
  <c r="E8" i="8"/>
  <c r="D12" i="8"/>
  <c r="Q12" i="8" s="1"/>
  <c r="I9" i="8"/>
  <c r="L11" i="8"/>
  <c r="D11" i="21"/>
  <c r="D23" i="21"/>
  <c r="B23" i="18"/>
  <c r="V15" i="3"/>
  <c r="V14" i="3"/>
  <c r="F48" i="12" l="1"/>
  <c r="N13" i="12"/>
  <c r="F13" i="12"/>
  <c r="N48" i="12"/>
  <c r="E48" i="12"/>
  <c r="E13" i="12"/>
  <c r="M48" i="12"/>
  <c r="M13" i="12"/>
  <c r="L12" i="12"/>
  <c r="L47" i="12"/>
  <c r="D47" i="12"/>
  <c r="D12" i="12"/>
  <c r="G13" i="12"/>
  <c r="G48" i="12"/>
  <c r="O13" i="12"/>
  <c r="O48" i="12"/>
  <c r="E12" i="12"/>
  <c r="E47" i="12"/>
  <c r="M47" i="12"/>
  <c r="M12" i="12"/>
  <c r="H47" i="6"/>
  <c r="B47" i="6"/>
  <c r="D36" i="21"/>
  <c r="B9" i="18" s="1"/>
  <c r="W21" i="8"/>
  <c r="N10" i="1"/>
  <c r="D7" i="6" s="1"/>
  <c r="O10" i="1"/>
  <c r="E7" i="6" s="1"/>
  <c r="P10" i="1"/>
  <c r="B7" i="6" s="1"/>
  <c r="N7" i="6" s="1"/>
  <c r="M10" i="1"/>
  <c r="C7" i="6" s="1"/>
  <c r="K7" i="6"/>
  <c r="K48" i="6" s="1"/>
  <c r="K90" i="6" s="1"/>
  <c r="I7" i="6"/>
  <c r="I48" i="6" s="1"/>
  <c r="J7" i="6"/>
  <c r="J48" i="6" s="1"/>
  <c r="J90" i="6" s="1"/>
  <c r="AA9" i="1"/>
  <c r="K89" i="6"/>
  <c r="S11" i="1"/>
  <c r="T11" i="1"/>
  <c r="U11" i="1"/>
  <c r="V11" i="1"/>
  <c r="H8" i="6" s="1"/>
  <c r="Z9" i="1"/>
  <c r="J89" i="6"/>
  <c r="O6" i="6"/>
  <c r="N6" i="6"/>
  <c r="Y9" i="1"/>
  <c r="G21" i="8"/>
  <c r="U22" i="8" s="1"/>
  <c r="H21" i="8"/>
  <c r="V22" i="8" s="1"/>
  <c r="J42" i="10"/>
  <c r="J43" i="10"/>
  <c r="C46" i="24"/>
  <c r="E47" i="24"/>
  <c r="F84" i="24"/>
  <c r="E85" i="24"/>
  <c r="F47" i="24"/>
  <c r="D85" i="24"/>
  <c r="C85" i="24"/>
  <c r="D47" i="24"/>
  <c r="J45" i="10"/>
  <c r="J44" i="10"/>
  <c r="S42" i="14"/>
  <c r="K46" i="12"/>
  <c r="F12" i="20"/>
  <c r="G12" i="21" s="1"/>
  <c r="K13" i="10"/>
  <c r="I45" i="13"/>
  <c r="K45" i="13" s="1"/>
  <c r="K44" i="14" s="1"/>
  <c r="B42" i="14"/>
  <c r="Q42" i="14"/>
  <c r="T42" i="14"/>
  <c r="I46" i="13"/>
  <c r="K47" i="12"/>
  <c r="I43" i="14"/>
  <c r="H11" i="10"/>
  <c r="I9" i="13"/>
  <c r="K9" i="12"/>
  <c r="D10" i="10"/>
  <c r="J11" i="10"/>
  <c r="F44" i="13"/>
  <c r="F43" i="14" s="1"/>
  <c r="T43" i="14" s="1"/>
  <c r="E44" i="13"/>
  <c r="E43" i="14" s="1"/>
  <c r="D44" i="13"/>
  <c r="D43" i="14" s="1"/>
  <c r="C44" i="13"/>
  <c r="C43" i="14" s="1"/>
  <c r="K14" i="10"/>
  <c r="C46" i="12"/>
  <c r="B45" i="13"/>
  <c r="I42" i="14"/>
  <c r="I46" i="10"/>
  <c r="F11" i="20"/>
  <c r="D13" i="8"/>
  <c r="Q13" i="8" s="1"/>
  <c r="C42" i="8"/>
  <c r="H42" i="8" s="1"/>
  <c r="L12" i="8"/>
  <c r="I10" i="8"/>
  <c r="C41" i="8"/>
  <c r="H41" i="8" s="1"/>
  <c r="E9" i="8"/>
  <c r="L13" i="12" l="1"/>
  <c r="D13" i="12"/>
  <c r="L48" i="12"/>
  <c r="D48" i="12"/>
  <c r="F14" i="12"/>
  <c r="N49" i="12"/>
  <c r="N14" i="12"/>
  <c r="F49" i="12"/>
  <c r="M14" i="12"/>
  <c r="E49" i="12"/>
  <c r="E14" i="12"/>
  <c r="M49" i="12"/>
  <c r="O49" i="12"/>
  <c r="O14" i="12"/>
  <c r="G14" i="12"/>
  <c r="G49" i="12"/>
  <c r="Z10" i="1"/>
  <c r="AA10" i="1"/>
  <c r="Y10" i="1"/>
  <c r="W22" i="8"/>
  <c r="J8" i="6"/>
  <c r="J49" i="6" s="1"/>
  <c r="J91" i="6" s="1"/>
  <c r="M11" i="1"/>
  <c r="C8" i="6" s="1"/>
  <c r="O11" i="1"/>
  <c r="E8" i="6" s="1"/>
  <c r="P11" i="1"/>
  <c r="B8" i="6" s="1"/>
  <c r="N8" i="6" s="1"/>
  <c r="N11" i="1"/>
  <c r="D8" i="6" s="1"/>
  <c r="O47" i="6"/>
  <c r="C89" i="6"/>
  <c r="I8" i="6"/>
  <c r="I49" i="6" s="1"/>
  <c r="I90" i="6"/>
  <c r="H90" i="6" s="1"/>
  <c r="H48" i="6"/>
  <c r="U12" i="1"/>
  <c r="S12" i="1"/>
  <c r="T12" i="1"/>
  <c r="V12" i="1"/>
  <c r="H9" i="6" s="1"/>
  <c r="E89" i="6"/>
  <c r="Q89" i="6" s="1"/>
  <c r="Q47" i="6"/>
  <c r="D89" i="6"/>
  <c r="P89" i="6" s="1"/>
  <c r="P47" i="6"/>
  <c r="O7" i="6"/>
  <c r="C48" i="6"/>
  <c r="I89" i="6"/>
  <c r="H89" i="6" s="1"/>
  <c r="Q6" i="6"/>
  <c r="P6" i="6"/>
  <c r="AB9" i="1"/>
  <c r="Q7" i="6"/>
  <c r="E48" i="6"/>
  <c r="K8" i="6"/>
  <c r="K49" i="6" s="1"/>
  <c r="K91" i="6" s="1"/>
  <c r="P7" i="6"/>
  <c r="D48" i="6"/>
  <c r="I47" i="10"/>
  <c r="H22" i="8"/>
  <c r="V23" i="8" s="1"/>
  <c r="G22" i="8"/>
  <c r="U23" i="8" s="1"/>
  <c r="W23" i="8" s="1"/>
  <c r="C47" i="24"/>
  <c r="D86" i="24"/>
  <c r="F85" i="24"/>
  <c r="F48" i="24"/>
  <c r="C86" i="24"/>
  <c r="E48" i="24"/>
  <c r="D48" i="24"/>
  <c r="E86" i="24"/>
  <c r="M45" i="13"/>
  <c r="M44" i="14" s="1"/>
  <c r="L45" i="13"/>
  <c r="L44" i="14" s="1"/>
  <c r="J45" i="13"/>
  <c r="J44" i="14" s="1"/>
  <c r="I48" i="10"/>
  <c r="P42" i="14"/>
  <c r="K10" i="8"/>
  <c r="L11" i="10"/>
  <c r="C45" i="13"/>
  <c r="C44" i="14" s="1"/>
  <c r="E45" i="13"/>
  <c r="E44" i="14" s="1"/>
  <c r="D45" i="13"/>
  <c r="D44" i="14" s="1"/>
  <c r="R44" i="14" s="1"/>
  <c r="F45" i="13"/>
  <c r="F44" i="14" s="1"/>
  <c r="B9" i="13"/>
  <c r="J12" i="10"/>
  <c r="C9" i="12"/>
  <c r="D11" i="10"/>
  <c r="J46" i="13"/>
  <c r="J45" i="14" s="1"/>
  <c r="L46" i="13"/>
  <c r="L45" i="14" s="1"/>
  <c r="K46" i="13"/>
  <c r="K45" i="14" s="1"/>
  <c r="M46" i="13"/>
  <c r="M45" i="14" s="1"/>
  <c r="R43" i="14"/>
  <c r="J9" i="13"/>
  <c r="J9" i="14" s="1"/>
  <c r="M9" i="13"/>
  <c r="M9" i="14" s="1"/>
  <c r="L9" i="13"/>
  <c r="L9" i="14" s="1"/>
  <c r="K9" i="13"/>
  <c r="K9" i="14" s="1"/>
  <c r="B46" i="13"/>
  <c r="K15" i="10"/>
  <c r="C47" i="12"/>
  <c r="S43" i="14"/>
  <c r="B43" i="14"/>
  <c r="Q43" i="14"/>
  <c r="G11" i="21"/>
  <c r="I10" i="13"/>
  <c r="K10" i="12"/>
  <c r="H12" i="10"/>
  <c r="I47" i="13"/>
  <c r="K48" i="12"/>
  <c r="D14" i="8"/>
  <c r="Q14" i="8" s="1"/>
  <c r="B41" i="8"/>
  <c r="G41" i="8" s="1"/>
  <c r="I41" i="8" s="1"/>
  <c r="C11" i="8"/>
  <c r="P11" i="8" s="1"/>
  <c r="R11" i="8" s="1"/>
  <c r="E10" i="8"/>
  <c r="L13" i="8"/>
  <c r="I11" i="8"/>
  <c r="AB10" i="1" l="1"/>
  <c r="G50" i="12"/>
  <c r="G15" i="12"/>
  <c r="O15" i="12"/>
  <c r="O50" i="12"/>
  <c r="F15" i="12"/>
  <c r="N15" i="12"/>
  <c r="F50" i="12"/>
  <c r="N50" i="12"/>
  <c r="D14" i="12"/>
  <c r="L14" i="12"/>
  <c r="D49" i="12"/>
  <c r="L49" i="12"/>
  <c r="M50" i="12"/>
  <c r="E50" i="12"/>
  <c r="E15" i="12"/>
  <c r="M15" i="12"/>
  <c r="AA11" i="1"/>
  <c r="N47" i="6"/>
  <c r="O48" i="6"/>
  <c r="B48" i="6"/>
  <c r="N48" i="6" s="1"/>
  <c r="N9" i="20" s="1"/>
  <c r="C90" i="6"/>
  <c r="E90" i="6"/>
  <c r="Q90" i="6" s="1"/>
  <c r="Q48" i="6"/>
  <c r="I9" i="6"/>
  <c r="I50" i="6" s="1"/>
  <c r="D49" i="6"/>
  <c r="P8" i="6"/>
  <c r="B89" i="6"/>
  <c r="N89" i="6" s="1"/>
  <c r="O89" i="6"/>
  <c r="J9" i="6"/>
  <c r="J50" i="6" s="1"/>
  <c r="J92" i="6" s="1"/>
  <c r="K9" i="6"/>
  <c r="K50" i="6" s="1"/>
  <c r="K92" i="6" s="1"/>
  <c r="C49" i="6"/>
  <c r="O8" i="6"/>
  <c r="O12" i="1"/>
  <c r="E9" i="6" s="1"/>
  <c r="N12" i="1"/>
  <c r="D9" i="6" s="1"/>
  <c r="M12" i="1"/>
  <c r="C9" i="6" s="1"/>
  <c r="P12" i="1"/>
  <c r="B9" i="6" s="1"/>
  <c r="N9" i="6" s="1"/>
  <c r="E49" i="6"/>
  <c r="Q8" i="6"/>
  <c r="U13" i="1"/>
  <c r="S13" i="1"/>
  <c r="T13" i="1"/>
  <c r="V13" i="1"/>
  <c r="H10" i="6" s="1"/>
  <c r="P48" i="6"/>
  <c r="D90" i="6"/>
  <c r="P90" i="6" s="1"/>
  <c r="Y11" i="1"/>
  <c r="H49" i="6"/>
  <c r="I91" i="6"/>
  <c r="H91" i="6" s="1"/>
  <c r="Z11" i="1"/>
  <c r="G23" i="8"/>
  <c r="U24" i="8" s="1"/>
  <c r="H23" i="8"/>
  <c r="V24" i="8" s="1"/>
  <c r="C48" i="24"/>
  <c r="F86" i="24"/>
  <c r="E87" i="24"/>
  <c r="F49" i="24"/>
  <c r="D49" i="24"/>
  <c r="D87" i="24"/>
  <c r="C87" i="24"/>
  <c r="E49" i="24"/>
  <c r="T44" i="14"/>
  <c r="J46" i="10"/>
  <c r="I44" i="14"/>
  <c r="F13" i="20"/>
  <c r="Q44" i="14"/>
  <c r="M10" i="8"/>
  <c r="K11" i="8"/>
  <c r="M11" i="8" s="1"/>
  <c r="L12" i="10"/>
  <c r="P43" i="14"/>
  <c r="I48" i="13"/>
  <c r="K49" i="12"/>
  <c r="C46" i="13"/>
  <c r="C45" i="14" s="1"/>
  <c r="D46" i="13"/>
  <c r="D45" i="14" s="1"/>
  <c r="R45" i="14" s="1"/>
  <c r="F46" i="13"/>
  <c r="F45" i="14" s="1"/>
  <c r="T45" i="14" s="1"/>
  <c r="E46" i="13"/>
  <c r="E45" i="14" s="1"/>
  <c r="C9" i="13"/>
  <c r="E9" i="13"/>
  <c r="E9" i="14" s="1"/>
  <c r="E75" i="14" s="1"/>
  <c r="F9" i="13"/>
  <c r="F9" i="14" s="1"/>
  <c r="F75" i="14" s="1"/>
  <c r="D9" i="13"/>
  <c r="D9" i="14" s="1"/>
  <c r="D75" i="14" s="1"/>
  <c r="K47" i="13"/>
  <c r="K46" i="14" s="1"/>
  <c r="L47" i="13"/>
  <c r="L46" i="14" s="1"/>
  <c r="J47" i="13"/>
  <c r="J46" i="14" s="1"/>
  <c r="M47" i="13"/>
  <c r="M46" i="14" s="1"/>
  <c r="S44" i="14"/>
  <c r="K75" i="14"/>
  <c r="B44" i="14"/>
  <c r="I49" i="10"/>
  <c r="F14" i="20"/>
  <c r="L75" i="14"/>
  <c r="B10" i="13"/>
  <c r="C10" i="12"/>
  <c r="J13" i="10"/>
  <c r="D12" i="10"/>
  <c r="I11" i="13"/>
  <c r="H13" i="10"/>
  <c r="K11" i="12"/>
  <c r="I9" i="14"/>
  <c r="J75" i="14"/>
  <c r="J10" i="13"/>
  <c r="J10" i="14" s="1"/>
  <c r="M10" i="13"/>
  <c r="M10" i="14" s="1"/>
  <c r="K10" i="13"/>
  <c r="K10" i="14" s="1"/>
  <c r="L10" i="13"/>
  <c r="L10" i="14" s="1"/>
  <c r="C16" i="10"/>
  <c r="B47" i="13"/>
  <c r="C48" i="12"/>
  <c r="M75" i="14"/>
  <c r="I45" i="14"/>
  <c r="C44" i="8"/>
  <c r="C12" i="8"/>
  <c r="P12" i="8" s="1"/>
  <c r="R12" i="8" s="1"/>
  <c r="E11" i="8"/>
  <c r="I12" i="8"/>
  <c r="C43" i="8"/>
  <c r="D15" i="8"/>
  <c r="Q15" i="8" s="1"/>
  <c r="AA12" i="1" l="1"/>
  <c r="M16" i="12"/>
  <c r="E16" i="12"/>
  <c r="M51" i="12"/>
  <c r="E51" i="12"/>
  <c r="O51" i="12"/>
  <c r="G51" i="12"/>
  <c r="G16" i="12"/>
  <c r="O16" i="12"/>
  <c r="L50" i="12"/>
  <c r="D15" i="12"/>
  <c r="L15" i="12"/>
  <c r="D50" i="12"/>
  <c r="F51" i="12"/>
  <c r="N51" i="12"/>
  <c r="F16" i="12"/>
  <c r="N16" i="12"/>
  <c r="M9" i="20"/>
  <c r="AB11" i="1"/>
  <c r="Z12" i="1"/>
  <c r="I9" i="20"/>
  <c r="H43" i="8"/>
  <c r="W24" i="8"/>
  <c r="I10" i="20"/>
  <c r="J10" i="21" s="1"/>
  <c r="H44" i="8"/>
  <c r="K16" i="10"/>
  <c r="P16" i="10"/>
  <c r="C51" i="10" s="1"/>
  <c r="B49" i="6"/>
  <c r="N49" i="6" s="1"/>
  <c r="N10" i="20" s="1"/>
  <c r="M10" i="20" s="1"/>
  <c r="L10" i="20" s="1"/>
  <c r="O49" i="6"/>
  <c r="C91" i="6"/>
  <c r="U14" i="1"/>
  <c r="T14" i="1"/>
  <c r="S14" i="1"/>
  <c r="V14" i="1"/>
  <c r="H11" i="6" s="1"/>
  <c r="I92" i="6"/>
  <c r="H92" i="6" s="1"/>
  <c r="H50" i="6"/>
  <c r="E91" i="6"/>
  <c r="Q91" i="6" s="1"/>
  <c r="Q49" i="6"/>
  <c r="Y12" i="1"/>
  <c r="M13" i="1"/>
  <c r="C10" i="6" s="1"/>
  <c r="C51" i="6" s="1"/>
  <c r="P13" i="1"/>
  <c r="B10" i="6" s="1"/>
  <c r="N10" i="6" s="1"/>
  <c r="O13" i="1"/>
  <c r="E10" i="6" s="1"/>
  <c r="N13" i="1"/>
  <c r="D10" i="6" s="1"/>
  <c r="K10" i="6"/>
  <c r="K51" i="6" s="1"/>
  <c r="K93" i="6" s="1"/>
  <c r="D50" i="6"/>
  <c r="P9" i="6"/>
  <c r="B90" i="6"/>
  <c r="N90" i="6" s="1"/>
  <c r="O90" i="6"/>
  <c r="C50" i="6"/>
  <c r="O9" i="6"/>
  <c r="J10" i="6"/>
  <c r="J51" i="6" s="1"/>
  <c r="J93" i="6" s="1"/>
  <c r="Q9" i="6"/>
  <c r="E50" i="6"/>
  <c r="D91" i="6"/>
  <c r="P91" i="6" s="1"/>
  <c r="P49" i="6"/>
  <c r="I10" i="6"/>
  <c r="C9" i="14"/>
  <c r="C75" i="14" s="1"/>
  <c r="B75" i="14" s="1"/>
  <c r="H24" i="8"/>
  <c r="V25" i="8" s="1"/>
  <c r="G24" i="8"/>
  <c r="U25" i="8" s="1"/>
  <c r="K12" i="8"/>
  <c r="M12" i="8" s="1"/>
  <c r="C49" i="24"/>
  <c r="D88" i="24"/>
  <c r="E50" i="24"/>
  <c r="C88" i="24"/>
  <c r="D50" i="24"/>
  <c r="E88" i="24"/>
  <c r="F50" i="24"/>
  <c r="F87" i="24"/>
  <c r="E11" i="20"/>
  <c r="S9" i="14"/>
  <c r="P44" i="14"/>
  <c r="G13" i="21"/>
  <c r="S75" i="14"/>
  <c r="Z75" i="14" s="1"/>
  <c r="L14" i="8"/>
  <c r="R75" i="14"/>
  <c r="Y75" i="14" s="1"/>
  <c r="T75" i="14"/>
  <c r="AA75" i="14" s="1"/>
  <c r="T9" i="14"/>
  <c r="L13" i="10"/>
  <c r="I50" i="10"/>
  <c r="F15" i="20"/>
  <c r="G15" i="21" s="1"/>
  <c r="K76" i="14"/>
  <c r="M76" i="14"/>
  <c r="I12" i="13"/>
  <c r="K12" i="12"/>
  <c r="H14" i="10"/>
  <c r="I46" i="14"/>
  <c r="B48" i="13"/>
  <c r="C17" i="10"/>
  <c r="C49" i="12"/>
  <c r="B45" i="14"/>
  <c r="I10" i="14"/>
  <c r="J76" i="14"/>
  <c r="J11" i="13"/>
  <c r="J11" i="14" s="1"/>
  <c r="K11" i="13"/>
  <c r="K11" i="14" s="1"/>
  <c r="K77" i="14" s="1"/>
  <c r="M11" i="13"/>
  <c r="M11" i="14" s="1"/>
  <c r="L11" i="13"/>
  <c r="L11" i="14" s="1"/>
  <c r="J47" i="10"/>
  <c r="E10" i="13"/>
  <c r="E10" i="14" s="1"/>
  <c r="E76" i="14" s="1"/>
  <c r="F10" i="13"/>
  <c r="F10" i="14" s="1"/>
  <c r="F76" i="14" s="1"/>
  <c r="D10" i="13"/>
  <c r="D10" i="14" s="1"/>
  <c r="D76" i="14" s="1"/>
  <c r="C10" i="13"/>
  <c r="K50" i="12"/>
  <c r="I49" i="13"/>
  <c r="G18" i="10"/>
  <c r="T18" i="10" s="1"/>
  <c r="Q45" i="14"/>
  <c r="J14" i="10"/>
  <c r="L14" i="10" s="1"/>
  <c r="B11" i="13"/>
  <c r="C11" i="12"/>
  <c r="D13" i="10"/>
  <c r="C47" i="13"/>
  <c r="C46" i="14" s="1"/>
  <c r="Q46" i="14" s="1"/>
  <c r="F47" i="13"/>
  <c r="F46" i="14" s="1"/>
  <c r="T46" i="14" s="1"/>
  <c r="E47" i="13"/>
  <c r="E46" i="14" s="1"/>
  <c r="D47" i="13"/>
  <c r="D46" i="14" s="1"/>
  <c r="R46" i="14" s="1"/>
  <c r="L76" i="14"/>
  <c r="I75" i="14"/>
  <c r="S45" i="14"/>
  <c r="G14" i="21"/>
  <c r="R9" i="14"/>
  <c r="J48" i="13"/>
  <c r="J47" i="14" s="1"/>
  <c r="M48" i="13"/>
  <c r="M47" i="14" s="1"/>
  <c r="L48" i="13"/>
  <c r="L47" i="14" s="1"/>
  <c r="K48" i="13"/>
  <c r="K47" i="14" s="1"/>
  <c r="C13" i="8"/>
  <c r="P13" i="8" s="1"/>
  <c r="R13" i="8" s="1"/>
  <c r="E12" i="8"/>
  <c r="D41" i="8"/>
  <c r="B42" i="8"/>
  <c r="G42" i="8" s="1"/>
  <c r="I42" i="8" s="1"/>
  <c r="I13" i="8"/>
  <c r="D16" i="8"/>
  <c r="Q16" i="8" s="1"/>
  <c r="C45" i="8"/>
  <c r="L15" i="8"/>
  <c r="AB12" i="1" l="1"/>
  <c r="F52" i="12"/>
  <c r="F17" i="12"/>
  <c r="N52" i="12"/>
  <c r="N17" i="12"/>
  <c r="M52" i="12"/>
  <c r="M17" i="12"/>
  <c r="E17" i="12"/>
  <c r="E52" i="12"/>
  <c r="D16" i="12"/>
  <c r="D51" i="12"/>
  <c r="L16" i="12"/>
  <c r="L51" i="12"/>
  <c r="G17" i="12"/>
  <c r="G52" i="12"/>
  <c r="O52" i="12"/>
  <c r="O17" i="12"/>
  <c r="F11" i="21"/>
  <c r="J9" i="21"/>
  <c r="L9" i="20"/>
  <c r="I11" i="20"/>
  <c r="J11" i="21" s="1"/>
  <c r="H45" i="8"/>
  <c r="W25" i="8"/>
  <c r="K17" i="10"/>
  <c r="P17" i="10"/>
  <c r="C52" i="10" s="1"/>
  <c r="C92" i="6"/>
  <c r="O92" i="6" s="1"/>
  <c r="O50" i="6"/>
  <c r="B50" i="6"/>
  <c r="N50" i="6" s="1"/>
  <c r="N11" i="20" s="1"/>
  <c r="M11" i="20" s="1"/>
  <c r="L11" i="20" s="1"/>
  <c r="I11" i="6"/>
  <c r="I52" i="6" s="1"/>
  <c r="E92" i="6"/>
  <c r="Q92" i="6" s="1"/>
  <c r="Q50" i="6"/>
  <c r="C93" i="6"/>
  <c r="J11" i="6"/>
  <c r="D92" i="6"/>
  <c r="P50" i="6"/>
  <c r="K11" i="6"/>
  <c r="K52" i="6" s="1"/>
  <c r="K94" i="6" s="1"/>
  <c r="P10" i="6"/>
  <c r="D51" i="6"/>
  <c r="Q10" i="6"/>
  <c r="E51" i="6"/>
  <c r="Z13" i="1"/>
  <c r="O91" i="6"/>
  <c r="B91" i="6"/>
  <c r="N91" i="6" s="1"/>
  <c r="O14" i="1"/>
  <c r="E11" i="6" s="1"/>
  <c r="P14" i="1"/>
  <c r="B11" i="6" s="1"/>
  <c r="N11" i="6" s="1"/>
  <c r="M14" i="1"/>
  <c r="C11" i="6" s="1"/>
  <c r="N14" i="1"/>
  <c r="D11" i="6" s="1"/>
  <c r="D52" i="6" s="1"/>
  <c r="S15" i="1"/>
  <c r="T15" i="1"/>
  <c r="U15" i="1"/>
  <c r="V15" i="1"/>
  <c r="H12" i="6" s="1"/>
  <c r="O10" i="6"/>
  <c r="I51" i="6"/>
  <c r="AA13" i="1"/>
  <c r="B9" i="14"/>
  <c r="Y13" i="1"/>
  <c r="G11" i="20"/>
  <c r="Q9" i="14"/>
  <c r="P9" i="14" s="1"/>
  <c r="C10" i="14"/>
  <c r="B10" i="14" s="1"/>
  <c r="G25" i="8"/>
  <c r="U26" i="8" s="1"/>
  <c r="H25" i="8"/>
  <c r="V26" i="8" s="1"/>
  <c r="K13" i="8"/>
  <c r="M13" i="8" s="1"/>
  <c r="C50" i="24"/>
  <c r="F88" i="24"/>
  <c r="E51" i="24"/>
  <c r="F51" i="24"/>
  <c r="D89" i="24"/>
  <c r="C89" i="24"/>
  <c r="E89" i="24"/>
  <c r="D51" i="24"/>
  <c r="B43" i="8"/>
  <c r="Q75" i="14"/>
  <c r="X75" i="14" s="1"/>
  <c r="W75" i="14" s="1"/>
  <c r="L11" i="21" s="1"/>
  <c r="T10" i="14"/>
  <c r="J48" i="10"/>
  <c r="S10" i="14"/>
  <c r="F16" i="20"/>
  <c r="I51" i="10"/>
  <c r="E12" i="20"/>
  <c r="K49" i="13"/>
  <c r="K48" i="14" s="1"/>
  <c r="L49" i="13"/>
  <c r="L48" i="14" s="1"/>
  <c r="J49" i="13"/>
  <c r="J48" i="14" s="1"/>
  <c r="M49" i="13"/>
  <c r="M48" i="14" s="1"/>
  <c r="I11" i="14"/>
  <c r="L77" i="14"/>
  <c r="R76" i="14"/>
  <c r="Y76" i="14" s="1"/>
  <c r="I47" i="14"/>
  <c r="B12" i="13"/>
  <c r="C12" i="12"/>
  <c r="J15" i="10"/>
  <c r="D14" i="10"/>
  <c r="J77" i="14"/>
  <c r="B46" i="14"/>
  <c r="P45" i="14"/>
  <c r="S76" i="14"/>
  <c r="Z76" i="14" s="1"/>
  <c r="M77" i="14"/>
  <c r="I76" i="14"/>
  <c r="B49" i="13"/>
  <c r="C18" i="10"/>
  <c r="C50" i="12"/>
  <c r="R10" i="14"/>
  <c r="L12" i="13"/>
  <c r="L12" i="14" s="1"/>
  <c r="L78" i="14" s="1"/>
  <c r="J12" i="13"/>
  <c r="J12" i="14" s="1"/>
  <c r="M12" i="13"/>
  <c r="M12" i="14" s="1"/>
  <c r="K12" i="13"/>
  <c r="K12" i="14" s="1"/>
  <c r="S46" i="14"/>
  <c r="P46" i="14" s="1"/>
  <c r="C11" i="13"/>
  <c r="D11" i="13"/>
  <c r="D11" i="14" s="1"/>
  <c r="E11" i="13"/>
  <c r="E11" i="14" s="1"/>
  <c r="E77" i="14" s="1"/>
  <c r="F11" i="13"/>
  <c r="F11" i="14" s="1"/>
  <c r="T11" i="14" s="1"/>
  <c r="I50" i="13"/>
  <c r="G19" i="10"/>
  <c r="T19" i="10" s="1"/>
  <c r="K51" i="12"/>
  <c r="C48" i="13"/>
  <c r="C47" i="14" s="1"/>
  <c r="D48" i="13"/>
  <c r="D47" i="14" s="1"/>
  <c r="E48" i="13"/>
  <c r="E47" i="14" s="1"/>
  <c r="F48" i="13"/>
  <c r="F47" i="14" s="1"/>
  <c r="T47" i="14" s="1"/>
  <c r="I13" i="13"/>
  <c r="H15" i="10"/>
  <c r="K13" i="12"/>
  <c r="T76" i="14"/>
  <c r="AA76" i="14" s="1"/>
  <c r="E13" i="8"/>
  <c r="C14" i="8"/>
  <c r="P14" i="8" s="1"/>
  <c r="R14" i="8" s="1"/>
  <c r="I14" i="8"/>
  <c r="D17" i="8"/>
  <c r="Q17" i="8" s="1"/>
  <c r="D42" i="8"/>
  <c r="C46" i="8"/>
  <c r="L16" i="8"/>
  <c r="N53" i="12" l="1"/>
  <c r="N18" i="12"/>
  <c r="F18" i="12"/>
  <c r="F53" i="12"/>
  <c r="D52" i="12"/>
  <c r="D17" i="12"/>
  <c r="L17" i="12"/>
  <c r="L52" i="12"/>
  <c r="M18" i="12"/>
  <c r="E53" i="12"/>
  <c r="E18" i="12"/>
  <c r="M53" i="12"/>
  <c r="O53" i="12"/>
  <c r="G18" i="12"/>
  <c r="O18" i="12"/>
  <c r="G53" i="12"/>
  <c r="AB13" i="1"/>
  <c r="H11" i="21"/>
  <c r="Y14" i="1"/>
  <c r="H9" i="20"/>
  <c r="G43" i="8"/>
  <c r="I43" i="8" s="1"/>
  <c r="W26" i="8"/>
  <c r="I12" i="20"/>
  <c r="H46" i="8"/>
  <c r="AA14" i="1"/>
  <c r="K18" i="10"/>
  <c r="P18" i="10"/>
  <c r="C53" i="10" s="1"/>
  <c r="Q10" i="14"/>
  <c r="P10" i="14" s="1"/>
  <c r="C76" i="14"/>
  <c r="B76" i="14" s="1"/>
  <c r="I12" i="6"/>
  <c r="I53" i="6" s="1"/>
  <c r="M15" i="1"/>
  <c r="C12" i="6" s="1"/>
  <c r="O15" i="1"/>
  <c r="E12" i="6" s="1"/>
  <c r="P15" i="1"/>
  <c r="B12" i="6" s="1"/>
  <c r="N12" i="6" s="1"/>
  <c r="N15" i="1"/>
  <c r="D12" i="6" s="1"/>
  <c r="E93" i="6"/>
  <c r="Q93" i="6" s="1"/>
  <c r="Q51" i="6"/>
  <c r="D94" i="6"/>
  <c r="P11" i="6"/>
  <c r="J52" i="6"/>
  <c r="J94" i="6" s="1"/>
  <c r="I94" i="6"/>
  <c r="U16" i="1"/>
  <c r="S16" i="1"/>
  <c r="T16" i="1"/>
  <c r="V16" i="1"/>
  <c r="H13" i="6" s="1"/>
  <c r="C52" i="6"/>
  <c r="O11" i="6"/>
  <c r="B51" i="6"/>
  <c r="P51" i="6"/>
  <c r="D93" i="6"/>
  <c r="P93" i="6" s="1"/>
  <c r="Z14" i="1"/>
  <c r="K12" i="6"/>
  <c r="B92" i="6"/>
  <c r="N92" i="6" s="1"/>
  <c r="P92" i="6"/>
  <c r="I93" i="6"/>
  <c r="H93" i="6" s="1"/>
  <c r="H51" i="6"/>
  <c r="O51" i="6"/>
  <c r="J12" i="6"/>
  <c r="J53" i="6" s="1"/>
  <c r="J95" i="6" s="1"/>
  <c r="E52" i="6"/>
  <c r="Q11" i="6"/>
  <c r="C11" i="14"/>
  <c r="C77" i="14" s="1"/>
  <c r="Q77" i="14" s="1"/>
  <c r="H26" i="8"/>
  <c r="V27" i="8" s="1"/>
  <c r="G26" i="8"/>
  <c r="U27" i="8" s="1"/>
  <c r="K14" i="8"/>
  <c r="M14" i="8" s="1"/>
  <c r="D43" i="8"/>
  <c r="C51" i="24"/>
  <c r="E90" i="24"/>
  <c r="D90" i="24"/>
  <c r="F52" i="24"/>
  <c r="F89" i="24"/>
  <c r="D52" i="24"/>
  <c r="C90" i="24"/>
  <c r="E52" i="24"/>
  <c r="E13" i="20"/>
  <c r="G13" i="20" s="1"/>
  <c r="P75" i="14"/>
  <c r="K11" i="20" s="1"/>
  <c r="B44" i="8"/>
  <c r="L15" i="10"/>
  <c r="I52" i="10"/>
  <c r="F17" i="20"/>
  <c r="G17" i="21" s="1"/>
  <c r="S11" i="14"/>
  <c r="J13" i="13"/>
  <c r="J13" i="14" s="1"/>
  <c r="M13" i="13"/>
  <c r="M13" i="14" s="1"/>
  <c r="M79" i="14" s="1"/>
  <c r="K13" i="13"/>
  <c r="K13" i="14" s="1"/>
  <c r="L13" i="13"/>
  <c r="L13" i="14" s="1"/>
  <c r="J50" i="13"/>
  <c r="J49" i="14" s="1"/>
  <c r="L50" i="13"/>
  <c r="L49" i="14" s="1"/>
  <c r="M50" i="13"/>
  <c r="M49" i="14" s="1"/>
  <c r="K50" i="13"/>
  <c r="K49" i="14" s="1"/>
  <c r="R11" i="14"/>
  <c r="D77" i="14"/>
  <c r="R77" i="14" s="1"/>
  <c r="Y77" i="14" s="1"/>
  <c r="M78" i="14"/>
  <c r="B13" i="13"/>
  <c r="D15" i="10"/>
  <c r="B16" i="10"/>
  <c r="C13" i="12"/>
  <c r="J49" i="10"/>
  <c r="I51" i="13"/>
  <c r="K52" i="12"/>
  <c r="G20" i="10"/>
  <c r="T20" i="10" s="1"/>
  <c r="I14" i="13"/>
  <c r="H16" i="10"/>
  <c r="K14" i="12"/>
  <c r="B47" i="14"/>
  <c r="J78" i="14"/>
  <c r="C19" i="10"/>
  <c r="C51" i="12"/>
  <c r="B50" i="13"/>
  <c r="I77" i="14"/>
  <c r="I48" i="14"/>
  <c r="G16" i="21"/>
  <c r="I12" i="14"/>
  <c r="K78" i="14"/>
  <c r="S47" i="14"/>
  <c r="F12" i="21"/>
  <c r="G12" i="20"/>
  <c r="F77" i="14"/>
  <c r="T77" i="14" s="1"/>
  <c r="AA77" i="14" s="1"/>
  <c r="E49" i="13"/>
  <c r="E48" i="14" s="1"/>
  <c r="D49" i="13"/>
  <c r="D48" i="14" s="1"/>
  <c r="R48" i="14" s="1"/>
  <c r="F49" i="13"/>
  <c r="F48" i="14" s="1"/>
  <c r="T48" i="14" s="1"/>
  <c r="C49" i="13"/>
  <c r="C48" i="14" s="1"/>
  <c r="C12" i="13"/>
  <c r="C12" i="14" s="1"/>
  <c r="F12" i="13"/>
  <c r="F12" i="14" s="1"/>
  <c r="F78" i="14" s="1"/>
  <c r="E12" i="13"/>
  <c r="E12" i="14" s="1"/>
  <c r="D12" i="13"/>
  <c r="D12" i="14" s="1"/>
  <c r="Q47" i="14"/>
  <c r="S77" i="14"/>
  <c r="Z77" i="14" s="1"/>
  <c r="R47" i="14"/>
  <c r="I15" i="8"/>
  <c r="L17" i="8"/>
  <c r="D18" i="8"/>
  <c r="Q18" i="8" s="1"/>
  <c r="C15" i="8"/>
  <c r="P15" i="8" s="1"/>
  <c r="R15" i="8" s="1"/>
  <c r="E14" i="8"/>
  <c r="M54" i="12" l="1"/>
  <c r="E54" i="12"/>
  <c r="M19" i="12"/>
  <c r="E19" i="12"/>
  <c r="N54" i="12"/>
  <c r="F19" i="12"/>
  <c r="N19" i="12"/>
  <c r="F54" i="12"/>
  <c r="G19" i="12"/>
  <c r="O19" i="12"/>
  <c r="O54" i="12"/>
  <c r="G54" i="12"/>
  <c r="L18" i="12"/>
  <c r="D18" i="12"/>
  <c r="D53" i="12"/>
  <c r="L53" i="12"/>
  <c r="B11" i="14"/>
  <c r="Q76" i="14"/>
  <c r="AB14" i="1"/>
  <c r="J12" i="21"/>
  <c r="I9" i="21"/>
  <c r="P94" i="6"/>
  <c r="J9" i="20"/>
  <c r="W27" i="8"/>
  <c r="N51" i="6"/>
  <c r="N12" i="20" s="1"/>
  <c r="H10" i="20"/>
  <c r="J10" i="20" s="1"/>
  <c r="G44" i="8"/>
  <c r="I44" i="8" s="1"/>
  <c r="J16" i="10"/>
  <c r="L16" i="10" s="1"/>
  <c r="O16" i="10"/>
  <c r="Q11" i="14"/>
  <c r="P11" i="14" s="1"/>
  <c r="H52" i="6"/>
  <c r="K19" i="10"/>
  <c r="P19" i="10"/>
  <c r="C54" i="10" s="1"/>
  <c r="H94" i="6"/>
  <c r="B93" i="6"/>
  <c r="N93" i="6" s="1"/>
  <c r="K13" i="6"/>
  <c r="K54" i="6" s="1"/>
  <c r="K96" i="6" s="1"/>
  <c r="B52" i="6"/>
  <c r="C94" i="6"/>
  <c r="O52" i="6"/>
  <c r="Q12" i="6"/>
  <c r="E53" i="6"/>
  <c r="I13" i="6"/>
  <c r="O93" i="6"/>
  <c r="D53" i="6"/>
  <c r="P12" i="6"/>
  <c r="T17" i="1"/>
  <c r="U17" i="1"/>
  <c r="V17" i="1"/>
  <c r="H14" i="6" s="1"/>
  <c r="S17" i="1"/>
  <c r="O16" i="1"/>
  <c r="E13" i="6" s="1"/>
  <c r="P16" i="1"/>
  <c r="B13" i="6" s="1"/>
  <c r="N13" i="6" s="1"/>
  <c r="M16" i="1"/>
  <c r="C13" i="6" s="1"/>
  <c r="C54" i="6" s="1"/>
  <c r="N16" i="1"/>
  <c r="D13" i="6" s="1"/>
  <c r="D54" i="6" s="1"/>
  <c r="Q52" i="6"/>
  <c r="E94" i="6"/>
  <c r="Q94" i="6" s="1"/>
  <c r="K53" i="6"/>
  <c r="K95" i="6" s="1"/>
  <c r="C53" i="6"/>
  <c r="O12" i="6"/>
  <c r="Z15" i="1"/>
  <c r="AA15" i="1"/>
  <c r="P52" i="6"/>
  <c r="Y15" i="1"/>
  <c r="J13" i="6"/>
  <c r="I95" i="6"/>
  <c r="G27" i="8"/>
  <c r="U28" i="8" s="1"/>
  <c r="H27" i="8"/>
  <c r="V28" i="8" s="1"/>
  <c r="H13" i="21"/>
  <c r="K15" i="8"/>
  <c r="M15" i="8" s="1"/>
  <c r="C52" i="24"/>
  <c r="D91" i="24"/>
  <c r="F90" i="24"/>
  <c r="F53" i="24"/>
  <c r="E91" i="24"/>
  <c r="C91" i="24"/>
  <c r="D53" i="24"/>
  <c r="E53" i="24"/>
  <c r="F13" i="21"/>
  <c r="D44" i="8"/>
  <c r="J50" i="10"/>
  <c r="B77" i="14"/>
  <c r="T78" i="14"/>
  <c r="AA78" i="14" s="1"/>
  <c r="I53" i="10"/>
  <c r="F18" i="20"/>
  <c r="S12" i="14"/>
  <c r="E78" i="14"/>
  <c r="X77" i="14"/>
  <c r="W77" i="14" s="1"/>
  <c r="L13" i="21" s="1"/>
  <c r="P77" i="14"/>
  <c r="K13" i="20" s="1"/>
  <c r="J51" i="13"/>
  <c r="J50" i="14" s="1"/>
  <c r="M51" i="13"/>
  <c r="M50" i="14" s="1"/>
  <c r="L51" i="13"/>
  <c r="L50" i="14" s="1"/>
  <c r="K51" i="13"/>
  <c r="K50" i="14" s="1"/>
  <c r="B48" i="14"/>
  <c r="I15" i="13"/>
  <c r="F18" i="10"/>
  <c r="S18" i="10" s="1"/>
  <c r="H17" i="10"/>
  <c r="K15" i="12"/>
  <c r="B14" i="13"/>
  <c r="B17" i="10"/>
  <c r="D16" i="10"/>
  <c r="C14" i="12"/>
  <c r="T12" i="14"/>
  <c r="L79" i="14"/>
  <c r="I13" i="14"/>
  <c r="J79" i="14"/>
  <c r="B12" i="14"/>
  <c r="C78" i="14"/>
  <c r="Q78" i="14" s="1"/>
  <c r="E14" i="20"/>
  <c r="E50" i="13"/>
  <c r="E49" i="14" s="1"/>
  <c r="S49" i="14" s="1"/>
  <c r="D50" i="13"/>
  <c r="D49" i="14" s="1"/>
  <c r="R49" i="14" s="1"/>
  <c r="F50" i="13"/>
  <c r="F49" i="14" s="1"/>
  <c r="T49" i="14" s="1"/>
  <c r="C50" i="13"/>
  <c r="C49" i="14" s="1"/>
  <c r="Q49" i="14" s="1"/>
  <c r="I78" i="14"/>
  <c r="L14" i="13"/>
  <c r="L14" i="14" s="1"/>
  <c r="L80" i="14" s="1"/>
  <c r="M14" i="13"/>
  <c r="M14" i="14" s="1"/>
  <c r="K14" i="13"/>
  <c r="K14" i="14" s="1"/>
  <c r="J14" i="13"/>
  <c r="J14" i="14" s="1"/>
  <c r="I52" i="13"/>
  <c r="G21" i="10"/>
  <c r="T21" i="10" s="1"/>
  <c r="K53" i="12"/>
  <c r="K79" i="14"/>
  <c r="C20" i="10"/>
  <c r="C52" i="12"/>
  <c r="B51" i="13"/>
  <c r="P47" i="14"/>
  <c r="S48" i="14"/>
  <c r="R12" i="14"/>
  <c r="D78" i="14"/>
  <c r="R78" i="14" s="1"/>
  <c r="Y78" i="14" s="1"/>
  <c r="H12" i="21"/>
  <c r="Q48" i="14"/>
  <c r="Q12" i="14"/>
  <c r="D13" i="13"/>
  <c r="D13" i="14" s="1"/>
  <c r="D79" i="14" s="1"/>
  <c r="E13" i="13"/>
  <c r="E13" i="14" s="1"/>
  <c r="E79" i="14" s="1"/>
  <c r="C13" i="13"/>
  <c r="C13" i="14" s="1"/>
  <c r="F13" i="13"/>
  <c r="F13" i="14" s="1"/>
  <c r="P76" i="14"/>
  <c r="K12" i="20" s="1"/>
  <c r="X76" i="14"/>
  <c r="W76" i="14" s="1"/>
  <c r="L12" i="21" s="1"/>
  <c r="I49" i="14"/>
  <c r="C48" i="8"/>
  <c r="L18" i="8"/>
  <c r="E15" i="8"/>
  <c r="C16" i="8"/>
  <c r="P16" i="8" s="1"/>
  <c r="R16" i="8" s="1"/>
  <c r="D19" i="8"/>
  <c r="Q19" i="8" s="1"/>
  <c r="B45" i="8"/>
  <c r="C47" i="8"/>
  <c r="I16" i="8"/>
  <c r="G55" i="12" l="1"/>
  <c r="O55" i="12"/>
  <c r="G20" i="12"/>
  <c r="O20" i="12"/>
  <c r="D19" i="12"/>
  <c r="L19" i="12"/>
  <c r="D54" i="12"/>
  <c r="L54" i="12"/>
  <c r="M55" i="12"/>
  <c r="M20" i="12"/>
  <c r="E20" i="12"/>
  <c r="E55" i="12"/>
  <c r="F55" i="12"/>
  <c r="F20" i="12"/>
  <c r="N55" i="12"/>
  <c r="N20" i="12"/>
  <c r="K10" i="21"/>
  <c r="P10" i="20"/>
  <c r="M12" i="20"/>
  <c r="K9" i="21"/>
  <c r="P9" i="20"/>
  <c r="I10" i="21"/>
  <c r="Z16" i="1"/>
  <c r="I13" i="20"/>
  <c r="H47" i="8"/>
  <c r="H11" i="20"/>
  <c r="I11" i="21" s="1"/>
  <c r="G45" i="8"/>
  <c r="I45" i="8" s="1"/>
  <c r="W28" i="8"/>
  <c r="I14" i="20"/>
  <c r="J14" i="21" s="1"/>
  <c r="H48" i="8"/>
  <c r="N52" i="6"/>
  <c r="N13" i="20" s="1"/>
  <c r="U18" i="10"/>
  <c r="K20" i="10"/>
  <c r="P20" i="10"/>
  <c r="C55" i="10" s="1"/>
  <c r="J17" i="10"/>
  <c r="L17" i="10" s="1"/>
  <c r="O17" i="10"/>
  <c r="Q16" i="10"/>
  <c r="D51" i="10" s="1"/>
  <c r="J51" i="10" s="1"/>
  <c r="B51" i="10"/>
  <c r="H51" i="10" s="1"/>
  <c r="P49" i="14"/>
  <c r="Q13" i="6"/>
  <c r="E54" i="6"/>
  <c r="B54" i="6" s="1"/>
  <c r="C96" i="6"/>
  <c r="C95" i="6"/>
  <c r="O53" i="6"/>
  <c r="B53" i="6"/>
  <c r="I14" i="6"/>
  <c r="O13" i="6"/>
  <c r="I54" i="6"/>
  <c r="O54" i="6" s="1"/>
  <c r="M17" i="1"/>
  <c r="C14" i="6" s="1"/>
  <c r="C55" i="6" s="1"/>
  <c r="O17" i="1"/>
  <c r="E14" i="6" s="1"/>
  <c r="P17" i="1"/>
  <c r="B14" i="6" s="1"/>
  <c r="N14" i="6" s="1"/>
  <c r="N17" i="1"/>
  <c r="D14" i="6" s="1"/>
  <c r="AB15" i="1"/>
  <c r="Y16" i="1"/>
  <c r="H95" i="6"/>
  <c r="K14" i="6"/>
  <c r="E95" i="6"/>
  <c r="Q95" i="6" s="1"/>
  <c r="Q53" i="6"/>
  <c r="AA16" i="1"/>
  <c r="O94" i="6"/>
  <c r="B94" i="6"/>
  <c r="N94" i="6" s="1"/>
  <c r="D95" i="6"/>
  <c r="P95" i="6" s="1"/>
  <c r="P53" i="6"/>
  <c r="H53" i="6"/>
  <c r="J14" i="6"/>
  <c r="J55" i="6" s="1"/>
  <c r="J97" i="6" s="1"/>
  <c r="S18" i="1"/>
  <c r="V18" i="1"/>
  <c r="H15" i="6" s="1"/>
  <c r="T18" i="1"/>
  <c r="U18" i="1"/>
  <c r="P13" i="6"/>
  <c r="J54" i="6"/>
  <c r="J96" i="6" s="1"/>
  <c r="D96" i="6"/>
  <c r="H28" i="8"/>
  <c r="V29" i="8" s="1"/>
  <c r="G28" i="8"/>
  <c r="U29" i="8" s="1"/>
  <c r="K16" i="8"/>
  <c r="M16" i="8" s="1"/>
  <c r="C53" i="24"/>
  <c r="C92" i="24"/>
  <c r="F91" i="24"/>
  <c r="E54" i="24"/>
  <c r="D54" i="24"/>
  <c r="E92" i="24"/>
  <c r="D92" i="24"/>
  <c r="F54" i="24"/>
  <c r="P12" i="14"/>
  <c r="P48" i="14"/>
  <c r="R79" i="14"/>
  <c r="Y79" i="14" s="1"/>
  <c r="I54" i="10"/>
  <c r="F19" i="20"/>
  <c r="G19" i="21" s="1"/>
  <c r="B18" i="10"/>
  <c r="C15" i="12"/>
  <c r="B15" i="13"/>
  <c r="D17" i="10"/>
  <c r="I14" i="14"/>
  <c r="J80" i="14"/>
  <c r="C14" i="13"/>
  <c r="C14" i="14" s="1"/>
  <c r="Q14" i="14" s="1"/>
  <c r="F14" i="13"/>
  <c r="F14" i="14" s="1"/>
  <c r="F80" i="14" s="1"/>
  <c r="D14" i="13"/>
  <c r="D14" i="14" s="1"/>
  <c r="D80" i="14" s="1"/>
  <c r="E14" i="13"/>
  <c r="E14" i="14" s="1"/>
  <c r="E15" i="20"/>
  <c r="B78" i="14"/>
  <c r="S78" i="14"/>
  <c r="Z78" i="14" s="1"/>
  <c r="T13" i="14"/>
  <c r="F79" i="14"/>
  <c r="T79" i="14" s="1"/>
  <c r="AA79" i="14" s="1"/>
  <c r="I53" i="13"/>
  <c r="G22" i="10"/>
  <c r="T22" i="10" s="1"/>
  <c r="K54" i="12"/>
  <c r="K80" i="14"/>
  <c r="I79" i="14"/>
  <c r="S79" i="14"/>
  <c r="Z79" i="14" s="1"/>
  <c r="F19" i="10"/>
  <c r="S19" i="10" s="1"/>
  <c r="K16" i="12"/>
  <c r="H18" i="10"/>
  <c r="I16" i="13"/>
  <c r="G18" i="21"/>
  <c r="I50" i="14"/>
  <c r="C51" i="13"/>
  <c r="C50" i="14" s="1"/>
  <c r="Q50" i="14" s="1"/>
  <c r="F51" i="13"/>
  <c r="F50" i="14" s="1"/>
  <c r="T50" i="14" s="1"/>
  <c r="D51" i="13"/>
  <c r="D50" i="14" s="1"/>
  <c r="R50" i="14" s="1"/>
  <c r="E51" i="13"/>
  <c r="E50" i="14" s="1"/>
  <c r="S50" i="14" s="1"/>
  <c r="C79" i="14"/>
  <c r="B13" i="14"/>
  <c r="B52" i="13"/>
  <c r="C53" i="12"/>
  <c r="C21" i="10"/>
  <c r="R13" i="14"/>
  <c r="K52" i="13"/>
  <c r="K51" i="14" s="1"/>
  <c r="L52" i="13"/>
  <c r="L51" i="14" s="1"/>
  <c r="J52" i="13"/>
  <c r="J51" i="14" s="1"/>
  <c r="M52" i="13"/>
  <c r="M51" i="14" s="1"/>
  <c r="M80" i="14"/>
  <c r="B49" i="14"/>
  <c r="F14" i="21"/>
  <c r="G14" i="20"/>
  <c r="X78" i="14"/>
  <c r="Q13" i="14"/>
  <c r="S13" i="14"/>
  <c r="J15" i="13"/>
  <c r="J15" i="14" s="1"/>
  <c r="K15" i="13"/>
  <c r="K15" i="14" s="1"/>
  <c r="L15" i="13"/>
  <c r="L15" i="14" s="1"/>
  <c r="M15" i="13"/>
  <c r="M15" i="14" s="1"/>
  <c r="D45" i="8"/>
  <c r="I17" i="8"/>
  <c r="D20" i="8"/>
  <c r="Q20" i="8" s="1"/>
  <c r="B46" i="8"/>
  <c r="E16" i="8"/>
  <c r="C17" i="8"/>
  <c r="P17" i="8" s="1"/>
  <c r="R17" i="8" s="1"/>
  <c r="C49" i="8"/>
  <c r="L19" i="8"/>
  <c r="N21" i="12" l="1"/>
  <c r="N56" i="12"/>
  <c r="F56" i="12"/>
  <c r="F21" i="12"/>
  <c r="D20" i="12"/>
  <c r="L55" i="12"/>
  <c r="L20" i="12"/>
  <c r="D55" i="12"/>
  <c r="O21" i="12"/>
  <c r="O56" i="12"/>
  <c r="G56" i="12"/>
  <c r="G21" i="12"/>
  <c r="E56" i="12"/>
  <c r="E21" i="12"/>
  <c r="M21" i="12"/>
  <c r="M56" i="12"/>
  <c r="J13" i="21"/>
  <c r="M13" i="20"/>
  <c r="L12" i="20"/>
  <c r="W29" i="8"/>
  <c r="AB16" i="1"/>
  <c r="Z17" i="1"/>
  <c r="J11" i="20"/>
  <c r="I15" i="20"/>
  <c r="J15" i="21" s="1"/>
  <c r="H49" i="8"/>
  <c r="H12" i="20"/>
  <c r="G46" i="8"/>
  <c r="I46" i="8" s="1"/>
  <c r="U19" i="10"/>
  <c r="Q17" i="10"/>
  <c r="D52" i="10" s="1"/>
  <c r="J52" i="10" s="1"/>
  <c r="B52" i="10"/>
  <c r="H52" i="10" s="1"/>
  <c r="AA17" i="1"/>
  <c r="K21" i="10"/>
  <c r="P21" i="10"/>
  <c r="C56" i="10" s="1"/>
  <c r="J18" i="10"/>
  <c r="L18" i="10" s="1"/>
  <c r="O18" i="10"/>
  <c r="P50" i="14"/>
  <c r="I15" i="6"/>
  <c r="B95" i="6"/>
  <c r="N95" i="6" s="1"/>
  <c r="O95" i="6"/>
  <c r="T19" i="1"/>
  <c r="U19" i="1"/>
  <c r="V19" i="1"/>
  <c r="H16" i="6" s="1"/>
  <c r="S19" i="1"/>
  <c r="K55" i="6"/>
  <c r="K97" i="6" s="1"/>
  <c r="O14" i="6"/>
  <c r="I55" i="6"/>
  <c r="E96" i="6"/>
  <c r="Q96" i="6" s="1"/>
  <c r="Q54" i="6"/>
  <c r="P96" i="6"/>
  <c r="H54" i="6"/>
  <c r="N54" i="6" s="1"/>
  <c r="N15" i="20" s="1"/>
  <c r="I96" i="6"/>
  <c r="H96" i="6" s="1"/>
  <c r="K15" i="6"/>
  <c r="K56" i="6" s="1"/>
  <c r="K98" i="6" s="1"/>
  <c r="D55" i="6"/>
  <c r="P14" i="6"/>
  <c r="Y17" i="1"/>
  <c r="O18" i="1"/>
  <c r="E15" i="6" s="1"/>
  <c r="M18" i="1"/>
  <c r="C15" i="6" s="1"/>
  <c r="N18" i="1"/>
  <c r="D15" i="6" s="1"/>
  <c r="P18" i="1"/>
  <c r="B15" i="6" s="1"/>
  <c r="N15" i="6" s="1"/>
  <c r="J15" i="6"/>
  <c r="J56" i="6" s="1"/>
  <c r="J98" i="6" s="1"/>
  <c r="N53" i="6"/>
  <c r="N14" i="20" s="1"/>
  <c r="M14" i="20" s="1"/>
  <c r="L14" i="20" s="1"/>
  <c r="C97" i="6"/>
  <c r="P54" i="6"/>
  <c r="E55" i="6"/>
  <c r="Q14" i="6"/>
  <c r="G29" i="8"/>
  <c r="U30" i="8" s="1"/>
  <c r="H29" i="8"/>
  <c r="V30" i="8" s="1"/>
  <c r="K17" i="8"/>
  <c r="M17" i="8" s="1"/>
  <c r="C54" i="24"/>
  <c r="F92" i="24"/>
  <c r="D55" i="24"/>
  <c r="E93" i="24"/>
  <c r="D93" i="24"/>
  <c r="C93" i="24"/>
  <c r="F55" i="24"/>
  <c r="E55" i="24"/>
  <c r="E16" i="20"/>
  <c r="G16" i="20" s="1"/>
  <c r="T80" i="14"/>
  <c r="AA80" i="14" s="1"/>
  <c r="B79" i="14"/>
  <c r="W78" i="14"/>
  <c r="L14" i="21" s="1"/>
  <c r="T14" i="14"/>
  <c r="P78" i="14"/>
  <c r="K14" i="20" s="1"/>
  <c r="R80" i="14"/>
  <c r="Y80" i="14" s="1"/>
  <c r="I55" i="10"/>
  <c r="F20" i="20"/>
  <c r="I15" i="14"/>
  <c r="M81" i="14"/>
  <c r="P13" i="14"/>
  <c r="H14" i="21"/>
  <c r="R14" i="14"/>
  <c r="L53" i="13"/>
  <c r="L52" i="14" s="1"/>
  <c r="K53" i="13"/>
  <c r="K52" i="14" s="1"/>
  <c r="J53" i="13"/>
  <c r="J52" i="14" s="1"/>
  <c r="M53" i="13"/>
  <c r="M52" i="14" s="1"/>
  <c r="F15" i="21"/>
  <c r="G15" i="20"/>
  <c r="B16" i="13"/>
  <c r="C16" i="12"/>
  <c r="D18" i="10"/>
  <c r="B19" i="10"/>
  <c r="I51" i="14"/>
  <c r="B50" i="14"/>
  <c r="K81" i="14"/>
  <c r="C52" i="13"/>
  <c r="C51" i="14" s="1"/>
  <c r="E52" i="13"/>
  <c r="E51" i="14" s="1"/>
  <c r="S51" i="14" s="1"/>
  <c r="F52" i="13"/>
  <c r="F51" i="14" s="1"/>
  <c r="T51" i="14" s="1"/>
  <c r="D52" i="13"/>
  <c r="D51" i="14" s="1"/>
  <c r="R51" i="14" s="1"/>
  <c r="B14" i="14"/>
  <c r="C80" i="14"/>
  <c r="Q80" i="14" s="1"/>
  <c r="B53" i="13"/>
  <c r="C22" i="10"/>
  <c r="C54" i="12"/>
  <c r="K16" i="13"/>
  <c r="K16" i="14" s="1"/>
  <c r="M16" i="13"/>
  <c r="M16" i="14" s="1"/>
  <c r="J16" i="13"/>
  <c r="J16" i="14" s="1"/>
  <c r="L16" i="13"/>
  <c r="L16" i="14" s="1"/>
  <c r="L81" i="14"/>
  <c r="J81" i="14"/>
  <c r="I17" i="13"/>
  <c r="K17" i="12"/>
  <c r="F20" i="10"/>
  <c r="S20" i="10" s="1"/>
  <c r="H19" i="10"/>
  <c r="Q79" i="14"/>
  <c r="I54" i="13"/>
  <c r="G23" i="10"/>
  <c r="T23" i="10" s="1"/>
  <c r="K55" i="12"/>
  <c r="S14" i="14"/>
  <c r="E80" i="14"/>
  <c r="I80" i="14"/>
  <c r="D15" i="13"/>
  <c r="D15" i="14" s="1"/>
  <c r="D81" i="14" s="1"/>
  <c r="E15" i="13"/>
  <c r="E15" i="14" s="1"/>
  <c r="E81" i="14" s="1"/>
  <c r="C15" i="13"/>
  <c r="C15" i="14" s="1"/>
  <c r="Q15" i="14" s="1"/>
  <c r="F15" i="13"/>
  <c r="F15" i="14" s="1"/>
  <c r="I18" i="8"/>
  <c r="C18" i="8"/>
  <c r="P18" i="8" s="1"/>
  <c r="R18" i="8" s="1"/>
  <c r="E17" i="8"/>
  <c r="B47" i="8"/>
  <c r="D46" i="8"/>
  <c r="D21" i="8"/>
  <c r="Q21" i="8" s="1"/>
  <c r="C50" i="8"/>
  <c r="L20" i="8"/>
  <c r="F22" i="12" l="1"/>
  <c r="F57" i="12"/>
  <c r="N22" i="12"/>
  <c r="N57" i="12"/>
  <c r="G22" i="12"/>
  <c r="O22" i="12"/>
  <c r="G57" i="12"/>
  <c r="O57" i="12"/>
  <c r="E22" i="12"/>
  <c r="E57" i="12"/>
  <c r="M22" i="12"/>
  <c r="M57" i="12"/>
  <c r="L21" i="12"/>
  <c r="L56" i="12"/>
  <c r="D56" i="12"/>
  <c r="D21" i="12"/>
  <c r="E17" i="20"/>
  <c r="M15" i="20"/>
  <c r="L15" i="20" s="1"/>
  <c r="J12" i="20"/>
  <c r="L13" i="20"/>
  <c r="K11" i="21"/>
  <c r="P11" i="20"/>
  <c r="B55" i="6"/>
  <c r="Z18" i="1"/>
  <c r="AB17" i="1"/>
  <c r="AA18" i="1"/>
  <c r="I12" i="21"/>
  <c r="W30" i="8"/>
  <c r="I16" i="20"/>
  <c r="J16" i="21" s="1"/>
  <c r="H50" i="8"/>
  <c r="H13" i="20"/>
  <c r="I13" i="21" s="1"/>
  <c r="G47" i="8"/>
  <c r="I47" i="8" s="1"/>
  <c r="J19" i="10"/>
  <c r="L19" i="10" s="1"/>
  <c r="O19" i="10"/>
  <c r="U20" i="10"/>
  <c r="Q18" i="10"/>
  <c r="D53" i="10" s="1"/>
  <c r="J53" i="10" s="1"/>
  <c r="B53" i="10"/>
  <c r="H53" i="10" s="1"/>
  <c r="K22" i="10"/>
  <c r="P22" i="10"/>
  <c r="C57" i="10" s="1"/>
  <c r="B96" i="6"/>
  <c r="N96" i="6" s="1"/>
  <c r="I16" i="6"/>
  <c r="I57" i="6" s="1"/>
  <c r="I56" i="6"/>
  <c r="Q15" i="6"/>
  <c r="E56" i="6"/>
  <c r="Y18" i="1"/>
  <c r="E97" i="6"/>
  <c r="Q97" i="6" s="1"/>
  <c r="Q55" i="6"/>
  <c r="K16" i="6"/>
  <c r="C56" i="6"/>
  <c r="O15" i="6"/>
  <c r="P19" i="1"/>
  <c r="B16" i="6" s="1"/>
  <c r="N19" i="1"/>
  <c r="D16" i="6" s="1"/>
  <c r="M19" i="1"/>
  <c r="C16" i="6" s="1"/>
  <c r="O19" i="1"/>
  <c r="E16" i="6" s="1"/>
  <c r="J16" i="6"/>
  <c r="J57" i="6" s="1"/>
  <c r="J99" i="6" s="1"/>
  <c r="S20" i="1"/>
  <c r="T20" i="1"/>
  <c r="U20" i="1"/>
  <c r="V20" i="1"/>
  <c r="H17" i="6" s="1"/>
  <c r="D97" i="6"/>
  <c r="P97" i="6" s="1"/>
  <c r="P55" i="6"/>
  <c r="H55" i="6"/>
  <c r="I97" i="6"/>
  <c r="H97" i="6" s="1"/>
  <c r="O96" i="6"/>
  <c r="O55" i="6"/>
  <c r="D56" i="6"/>
  <c r="P15" i="6"/>
  <c r="M82" i="14"/>
  <c r="K82" i="14"/>
  <c r="L82" i="14"/>
  <c r="H30" i="8"/>
  <c r="V31" i="8" s="1"/>
  <c r="G30" i="8"/>
  <c r="U31" i="8" s="1"/>
  <c r="H16" i="21"/>
  <c r="H15" i="21"/>
  <c r="K18" i="8"/>
  <c r="M18" i="8" s="1"/>
  <c r="C55" i="24"/>
  <c r="E56" i="24"/>
  <c r="D94" i="24"/>
  <c r="C94" i="24"/>
  <c r="D56" i="24"/>
  <c r="F56" i="24"/>
  <c r="E94" i="24"/>
  <c r="F93" i="24"/>
  <c r="F16" i="21"/>
  <c r="B48" i="8"/>
  <c r="S15" i="14"/>
  <c r="R15" i="14"/>
  <c r="P14" i="14"/>
  <c r="B51" i="14"/>
  <c r="I56" i="10"/>
  <c r="F21" i="20"/>
  <c r="G21" i="21" s="1"/>
  <c r="I55" i="13"/>
  <c r="K56" i="12"/>
  <c r="G24" i="10"/>
  <c r="T24" i="10" s="1"/>
  <c r="Q51" i="14"/>
  <c r="P51" i="14" s="1"/>
  <c r="I52" i="14"/>
  <c r="R81" i="14"/>
  <c r="Y81" i="14" s="1"/>
  <c r="K54" i="13"/>
  <c r="K53" i="14" s="1"/>
  <c r="M54" i="13"/>
  <c r="M53" i="14" s="1"/>
  <c r="J54" i="13"/>
  <c r="J53" i="14" s="1"/>
  <c r="L54" i="13"/>
  <c r="L53" i="14" s="1"/>
  <c r="I18" i="13"/>
  <c r="K18" i="12"/>
  <c r="F21" i="10"/>
  <c r="S21" i="10" s="1"/>
  <c r="H20" i="10"/>
  <c r="F16" i="13"/>
  <c r="F16" i="14" s="1"/>
  <c r="F82" i="14" s="1"/>
  <c r="C16" i="13"/>
  <c r="C16" i="14" s="1"/>
  <c r="Q16" i="14" s="1"/>
  <c r="E16" i="13"/>
  <c r="E16" i="14" s="1"/>
  <c r="E82" i="14" s="1"/>
  <c r="D16" i="13"/>
  <c r="D16" i="14" s="1"/>
  <c r="D82" i="14" s="1"/>
  <c r="G20" i="21"/>
  <c r="B15" i="14"/>
  <c r="C81" i="14"/>
  <c r="P79" i="14"/>
  <c r="K15" i="20" s="1"/>
  <c r="X79" i="14"/>
  <c r="W79" i="14" s="1"/>
  <c r="L15" i="21" s="1"/>
  <c r="J17" i="13"/>
  <c r="J17" i="14" s="1"/>
  <c r="M17" i="13"/>
  <c r="M17" i="14" s="1"/>
  <c r="L17" i="13"/>
  <c r="L17" i="14" s="1"/>
  <c r="K17" i="13"/>
  <c r="K17" i="14" s="1"/>
  <c r="C53" i="13"/>
  <c r="C52" i="14" s="1"/>
  <c r="Q52" i="14" s="1"/>
  <c r="F53" i="13"/>
  <c r="F52" i="14" s="1"/>
  <c r="D53" i="13"/>
  <c r="D52" i="14" s="1"/>
  <c r="R52" i="14" s="1"/>
  <c r="E53" i="13"/>
  <c r="E52" i="14" s="1"/>
  <c r="B80" i="14"/>
  <c r="S80" i="14"/>
  <c r="Z80" i="14" s="1"/>
  <c r="I81" i="14"/>
  <c r="T15" i="14"/>
  <c r="F81" i="14"/>
  <c r="T81" i="14" s="1"/>
  <c r="AA81" i="14" s="1"/>
  <c r="X80" i="14"/>
  <c r="S81" i="14"/>
  <c r="Z81" i="14" s="1"/>
  <c r="I16" i="14"/>
  <c r="J82" i="14"/>
  <c r="B54" i="13"/>
  <c r="C23" i="10"/>
  <c r="C55" i="12"/>
  <c r="B17" i="13"/>
  <c r="B20" i="10"/>
  <c r="D19" i="10"/>
  <c r="C17" i="12"/>
  <c r="F17" i="21"/>
  <c r="G17" i="20"/>
  <c r="C51" i="8"/>
  <c r="L21" i="8"/>
  <c r="I19" i="8"/>
  <c r="D22" i="8"/>
  <c r="Q22" i="8" s="1"/>
  <c r="C19" i="8"/>
  <c r="P19" i="8" s="1"/>
  <c r="R19" i="8" s="1"/>
  <c r="E18" i="8"/>
  <c r="D47" i="8"/>
  <c r="N55" i="6" l="1"/>
  <c r="N16" i="20" s="1"/>
  <c r="M16" i="20" s="1"/>
  <c r="L16" i="20" s="1"/>
  <c r="F23" i="12"/>
  <c r="F58" i="12"/>
  <c r="N58" i="12"/>
  <c r="N23" i="12"/>
  <c r="D22" i="12"/>
  <c r="D57" i="12"/>
  <c r="L22" i="12"/>
  <c r="L57" i="12"/>
  <c r="G23" i="12"/>
  <c r="G58" i="12"/>
  <c r="O58" i="12"/>
  <c r="O23" i="12"/>
  <c r="M58" i="12"/>
  <c r="M23" i="12"/>
  <c r="E23" i="12"/>
  <c r="E58" i="12"/>
  <c r="K12" i="21"/>
  <c r="P12" i="20"/>
  <c r="AB18" i="1"/>
  <c r="W31" i="8"/>
  <c r="AA19" i="1"/>
  <c r="Z19" i="1"/>
  <c r="J13" i="20"/>
  <c r="H14" i="20"/>
  <c r="I14" i="21" s="1"/>
  <c r="G48" i="8"/>
  <c r="I48" i="8" s="1"/>
  <c r="I17" i="20"/>
  <c r="J17" i="21" s="1"/>
  <c r="H51" i="8"/>
  <c r="J20" i="10"/>
  <c r="L20" i="10" s="1"/>
  <c r="O20" i="10"/>
  <c r="K23" i="10"/>
  <c r="P23" i="10"/>
  <c r="C58" i="10" s="1"/>
  <c r="R82" i="14"/>
  <c r="U21" i="10"/>
  <c r="O97" i="6"/>
  <c r="Q19" i="10"/>
  <c r="D54" i="10" s="1"/>
  <c r="B54" i="10"/>
  <c r="H54" i="10" s="1"/>
  <c r="K57" i="6"/>
  <c r="K99" i="6" s="1"/>
  <c r="C57" i="6"/>
  <c r="O16" i="6"/>
  <c r="N20" i="1"/>
  <c r="D17" i="6" s="1"/>
  <c r="O20" i="1"/>
  <c r="E17" i="6" s="1"/>
  <c r="M20" i="1"/>
  <c r="C17" i="6" s="1"/>
  <c r="P20" i="1"/>
  <c r="B17" i="6" s="1"/>
  <c r="N17" i="6" s="1"/>
  <c r="T21" i="1"/>
  <c r="S21" i="1"/>
  <c r="U21" i="1"/>
  <c r="V21" i="1"/>
  <c r="H18" i="6" s="1"/>
  <c r="D98" i="6"/>
  <c r="P98" i="6" s="1"/>
  <c r="P56" i="6"/>
  <c r="K17" i="6"/>
  <c r="K58" i="6" s="1"/>
  <c r="K100" i="6" s="1"/>
  <c r="D57" i="6"/>
  <c r="P16" i="6"/>
  <c r="H56" i="6"/>
  <c r="I98" i="6"/>
  <c r="J17" i="6"/>
  <c r="J58" i="6" s="1"/>
  <c r="J100" i="6" s="1"/>
  <c r="N16" i="6"/>
  <c r="Y19" i="1"/>
  <c r="I17" i="6"/>
  <c r="I99" i="6"/>
  <c r="T82" i="14"/>
  <c r="E98" i="6"/>
  <c r="Q98" i="6" s="1"/>
  <c r="Q56" i="6"/>
  <c r="E57" i="6"/>
  <c r="Q16" i="6"/>
  <c r="S82" i="14"/>
  <c r="C98" i="6"/>
  <c r="O56" i="6"/>
  <c r="B56" i="6"/>
  <c r="B97" i="6"/>
  <c r="N97" i="6" s="1"/>
  <c r="R16" i="14"/>
  <c r="T16" i="14"/>
  <c r="S16" i="14"/>
  <c r="I82" i="14"/>
  <c r="G31" i="8"/>
  <c r="U32" i="8" s="1"/>
  <c r="H31" i="8"/>
  <c r="V32" i="8" s="1"/>
  <c r="H17" i="21"/>
  <c r="K19" i="8"/>
  <c r="M19" i="8" s="1"/>
  <c r="C56" i="24"/>
  <c r="C95" i="24"/>
  <c r="D95" i="24"/>
  <c r="F57" i="24"/>
  <c r="F94" i="24"/>
  <c r="E57" i="24"/>
  <c r="E95" i="24"/>
  <c r="D57" i="24"/>
  <c r="D48" i="8"/>
  <c r="P80" i="14"/>
  <c r="K16" i="20" s="1"/>
  <c r="E18" i="20"/>
  <c r="G18" i="20" s="1"/>
  <c r="W80" i="14"/>
  <c r="L16" i="21" s="1"/>
  <c r="B49" i="8"/>
  <c r="B81" i="14"/>
  <c r="I57" i="10"/>
  <c r="F22" i="20"/>
  <c r="G22" i="21" s="1"/>
  <c r="C54" i="13"/>
  <c r="C53" i="14" s="1"/>
  <c r="D54" i="13"/>
  <c r="D53" i="14" s="1"/>
  <c r="F54" i="13"/>
  <c r="F53" i="14" s="1"/>
  <c r="T53" i="14" s="1"/>
  <c r="E54" i="13"/>
  <c r="E53" i="14" s="1"/>
  <c r="S53" i="14" s="1"/>
  <c r="M83" i="14"/>
  <c r="I56" i="13"/>
  <c r="G25" i="10"/>
  <c r="T25" i="10" s="1"/>
  <c r="K57" i="12"/>
  <c r="Q81" i="14"/>
  <c r="T52" i="14"/>
  <c r="B52" i="14"/>
  <c r="I17" i="14"/>
  <c r="J83" i="14"/>
  <c r="B16" i="14"/>
  <c r="C82" i="14"/>
  <c r="B82" i="14" s="1"/>
  <c r="I19" i="13"/>
  <c r="H21" i="10"/>
  <c r="K19" i="12"/>
  <c r="F22" i="10"/>
  <c r="S22" i="10" s="1"/>
  <c r="B18" i="13"/>
  <c r="C18" i="12"/>
  <c r="D20" i="10"/>
  <c r="B21" i="10"/>
  <c r="K83" i="14"/>
  <c r="I53" i="14"/>
  <c r="J54" i="10"/>
  <c r="L55" i="13"/>
  <c r="L54" i="14" s="1"/>
  <c r="J55" i="13"/>
  <c r="J54" i="14" s="1"/>
  <c r="M55" i="13"/>
  <c r="M54" i="14" s="1"/>
  <c r="K55" i="13"/>
  <c r="K54" i="14" s="1"/>
  <c r="S52" i="14"/>
  <c r="C17" i="13"/>
  <c r="C17" i="14" s="1"/>
  <c r="Q17" i="14" s="1"/>
  <c r="D17" i="13"/>
  <c r="D17" i="14" s="1"/>
  <c r="D83" i="14" s="1"/>
  <c r="F17" i="13"/>
  <c r="F17" i="14" s="1"/>
  <c r="F83" i="14" s="1"/>
  <c r="E17" i="13"/>
  <c r="E17" i="14" s="1"/>
  <c r="E83" i="14" s="1"/>
  <c r="C24" i="10"/>
  <c r="B55" i="13"/>
  <c r="C56" i="12"/>
  <c r="L83" i="14"/>
  <c r="J18" i="13"/>
  <c r="J18" i="14" s="1"/>
  <c r="M18" i="13"/>
  <c r="M18" i="14" s="1"/>
  <c r="L18" i="13"/>
  <c r="L18" i="14" s="1"/>
  <c r="K18" i="13"/>
  <c r="K18" i="14" s="1"/>
  <c r="P15" i="14"/>
  <c r="I20" i="8"/>
  <c r="C20" i="8"/>
  <c r="P20" i="8" s="1"/>
  <c r="R20" i="8" s="1"/>
  <c r="E19" i="8"/>
  <c r="C52" i="8"/>
  <c r="L22" i="8"/>
  <c r="D23" i="8"/>
  <c r="Q23" i="8" s="1"/>
  <c r="D23" i="12" l="1"/>
  <c r="D58" i="12"/>
  <c r="L58" i="12"/>
  <c r="L23" i="12"/>
  <c r="E59" i="12"/>
  <c r="M59" i="12"/>
  <c r="M24" i="12"/>
  <c r="E24" i="12"/>
  <c r="F59" i="12"/>
  <c r="N59" i="12"/>
  <c r="F24" i="12"/>
  <c r="N24" i="12"/>
  <c r="O24" i="12"/>
  <c r="G59" i="12"/>
  <c r="O59" i="12"/>
  <c r="G24" i="12"/>
  <c r="N56" i="6"/>
  <c r="N17" i="20" s="1"/>
  <c r="M17" i="20" s="1"/>
  <c r="L17" i="20" s="1"/>
  <c r="K13" i="21"/>
  <c r="P13" i="20"/>
  <c r="H57" i="6"/>
  <c r="J14" i="20"/>
  <c r="AB19" i="1"/>
  <c r="AA20" i="1"/>
  <c r="W32" i="8"/>
  <c r="I18" i="20"/>
  <c r="J18" i="21" s="1"/>
  <c r="H52" i="8"/>
  <c r="H15" i="20"/>
  <c r="I15" i="21" s="1"/>
  <c r="G49" i="8"/>
  <c r="I49" i="8" s="1"/>
  <c r="H99" i="6"/>
  <c r="J21" i="10"/>
  <c r="L21" i="10" s="1"/>
  <c r="O21" i="10"/>
  <c r="K24" i="10"/>
  <c r="P24" i="10"/>
  <c r="C59" i="10" s="1"/>
  <c r="Q20" i="10"/>
  <c r="D55" i="10" s="1"/>
  <c r="J55" i="10" s="1"/>
  <c r="B55" i="10"/>
  <c r="H55" i="10" s="1"/>
  <c r="U22" i="10"/>
  <c r="Q82" i="14"/>
  <c r="Y20" i="1"/>
  <c r="O98" i="6"/>
  <c r="H98" i="6"/>
  <c r="D58" i="6"/>
  <c r="P17" i="6"/>
  <c r="M21" i="1"/>
  <c r="C18" i="6" s="1"/>
  <c r="P21" i="1"/>
  <c r="B18" i="6" s="1"/>
  <c r="O21" i="1"/>
  <c r="E18" i="6" s="1"/>
  <c r="N21" i="1"/>
  <c r="D18" i="6" s="1"/>
  <c r="Q57" i="6"/>
  <c r="E99" i="6"/>
  <c r="Q99" i="6" s="1"/>
  <c r="O17" i="6"/>
  <c r="I58" i="6"/>
  <c r="K18" i="6"/>
  <c r="C99" i="6"/>
  <c r="O57" i="6"/>
  <c r="B57" i="6"/>
  <c r="C58" i="6"/>
  <c r="E58" i="6"/>
  <c r="Q17" i="6"/>
  <c r="B98" i="6"/>
  <c r="I18" i="6"/>
  <c r="I59" i="6" s="1"/>
  <c r="U22" i="1"/>
  <c r="S22" i="1"/>
  <c r="V22" i="1"/>
  <c r="H19" i="6" s="1"/>
  <c r="T22" i="1"/>
  <c r="D99" i="6"/>
  <c r="P99" i="6" s="1"/>
  <c r="P57" i="6"/>
  <c r="J18" i="6"/>
  <c r="J59" i="6" s="1"/>
  <c r="J101" i="6" s="1"/>
  <c r="Z20" i="1"/>
  <c r="S17" i="14"/>
  <c r="P16" i="14"/>
  <c r="M84" i="14"/>
  <c r="R17" i="14"/>
  <c r="T17" i="14"/>
  <c r="L84" i="14"/>
  <c r="V33" i="8"/>
  <c r="U33" i="8"/>
  <c r="K20" i="8"/>
  <c r="M20" i="8" s="1"/>
  <c r="C57" i="24"/>
  <c r="D58" i="24"/>
  <c r="C96" i="24"/>
  <c r="E96" i="24"/>
  <c r="F58" i="24"/>
  <c r="F95" i="24"/>
  <c r="E58" i="24"/>
  <c r="D96" i="24"/>
  <c r="F18" i="21"/>
  <c r="D49" i="8"/>
  <c r="S83" i="14"/>
  <c r="Z82" i="14" s="1"/>
  <c r="R83" i="14"/>
  <c r="Y83" i="14" s="1"/>
  <c r="P52" i="14"/>
  <c r="I58" i="10"/>
  <c r="F23" i="20"/>
  <c r="G23" i="21" s="1"/>
  <c r="I18" i="14"/>
  <c r="K84" i="14"/>
  <c r="B19" i="13"/>
  <c r="B22" i="10"/>
  <c r="D21" i="10"/>
  <c r="C19" i="12"/>
  <c r="X81" i="14"/>
  <c r="W81" i="14" s="1"/>
  <c r="L17" i="21" s="1"/>
  <c r="P81" i="14"/>
  <c r="K17" i="20" s="1"/>
  <c r="I57" i="13"/>
  <c r="G26" i="10"/>
  <c r="T26" i="10" s="1"/>
  <c r="K58" i="12"/>
  <c r="E19" i="20"/>
  <c r="D55" i="13"/>
  <c r="D54" i="14" s="1"/>
  <c r="R54" i="14" s="1"/>
  <c r="C55" i="13"/>
  <c r="C54" i="14" s="1"/>
  <c r="F55" i="13"/>
  <c r="F54" i="14" s="1"/>
  <c r="E55" i="13"/>
  <c r="E54" i="14" s="1"/>
  <c r="S54" i="14" s="1"/>
  <c r="L56" i="13"/>
  <c r="L55" i="14" s="1"/>
  <c r="K56" i="13"/>
  <c r="K55" i="14" s="1"/>
  <c r="M56" i="13"/>
  <c r="M55" i="14" s="1"/>
  <c r="J56" i="13"/>
  <c r="J55" i="14" s="1"/>
  <c r="B53" i="14"/>
  <c r="B56" i="13"/>
  <c r="C25" i="10"/>
  <c r="C57" i="12"/>
  <c r="Q53" i="14"/>
  <c r="J19" i="13"/>
  <c r="J19" i="14" s="1"/>
  <c r="M19" i="13"/>
  <c r="M19" i="14" s="1"/>
  <c r="M85" i="14" s="1"/>
  <c r="L19" i="13"/>
  <c r="L19" i="14" s="1"/>
  <c r="L85" i="14" s="1"/>
  <c r="K19" i="13"/>
  <c r="K19" i="14" s="1"/>
  <c r="I83" i="14"/>
  <c r="H18" i="21"/>
  <c r="J84" i="14"/>
  <c r="B17" i="14"/>
  <c r="C83" i="14"/>
  <c r="B83" i="14" s="1"/>
  <c r="I54" i="14"/>
  <c r="D18" i="13"/>
  <c r="D18" i="14" s="1"/>
  <c r="R18" i="14" s="1"/>
  <c r="F18" i="13"/>
  <c r="F18" i="14" s="1"/>
  <c r="T18" i="14" s="1"/>
  <c r="C18" i="13"/>
  <c r="C18" i="14" s="1"/>
  <c r="Q18" i="14" s="1"/>
  <c r="E18" i="13"/>
  <c r="E18" i="14" s="1"/>
  <c r="S18" i="14" s="1"/>
  <c r="I20" i="13"/>
  <c r="F23" i="10"/>
  <c r="S23" i="10" s="1"/>
  <c r="K20" i="12"/>
  <c r="H22" i="10"/>
  <c r="R53" i="14"/>
  <c r="T83" i="14"/>
  <c r="B50" i="8"/>
  <c r="C53" i="8"/>
  <c r="L23" i="8"/>
  <c r="E20" i="8"/>
  <c r="C21" i="8"/>
  <c r="P21" i="8" s="1"/>
  <c r="R21" i="8" s="1"/>
  <c r="D24" i="8"/>
  <c r="Q24" i="8" s="1"/>
  <c r="I21" i="8"/>
  <c r="M25" i="12" l="1"/>
  <c r="E25" i="12"/>
  <c r="E60" i="12"/>
  <c r="M60" i="12"/>
  <c r="D59" i="12"/>
  <c r="L59" i="12"/>
  <c r="D24" i="12"/>
  <c r="L24" i="12"/>
  <c r="N60" i="12"/>
  <c r="N25" i="12"/>
  <c r="F25" i="12"/>
  <c r="F60" i="12"/>
  <c r="G60" i="12"/>
  <c r="G25" i="12"/>
  <c r="O60" i="12"/>
  <c r="O25" i="12"/>
  <c r="N57" i="6"/>
  <c r="N18" i="20" s="1"/>
  <c r="M18" i="20" s="1"/>
  <c r="L18" i="20" s="1"/>
  <c r="K14" i="21"/>
  <c r="P14" i="20"/>
  <c r="W33" i="8"/>
  <c r="Y21" i="1"/>
  <c r="J15" i="20"/>
  <c r="I19" i="20"/>
  <c r="J19" i="21" s="1"/>
  <c r="H53" i="8"/>
  <c r="H16" i="20"/>
  <c r="J16" i="20" s="1"/>
  <c r="G50" i="8"/>
  <c r="I50" i="8" s="1"/>
  <c r="J22" i="10"/>
  <c r="L22" i="10" s="1"/>
  <c r="O22" i="10"/>
  <c r="Q21" i="10"/>
  <c r="D56" i="10" s="1"/>
  <c r="B56" i="10"/>
  <c r="H56" i="10" s="1"/>
  <c r="U23" i="10"/>
  <c r="K25" i="10"/>
  <c r="P25" i="10"/>
  <c r="C60" i="10" s="1"/>
  <c r="AA21" i="1"/>
  <c r="I101" i="6"/>
  <c r="B99" i="6"/>
  <c r="N99" i="6" s="1"/>
  <c r="O99" i="6"/>
  <c r="N98" i="6"/>
  <c r="D100" i="6"/>
  <c r="P58" i="6"/>
  <c r="K59" i="6"/>
  <c r="K101" i="6" s="1"/>
  <c r="D59" i="6"/>
  <c r="P18" i="6"/>
  <c r="E59" i="6"/>
  <c r="Q18" i="6"/>
  <c r="AB20" i="1"/>
  <c r="J19" i="6"/>
  <c r="J60" i="6" s="1"/>
  <c r="J102" i="6" s="1"/>
  <c r="E100" i="6"/>
  <c r="Q100" i="6" s="1"/>
  <c r="Q58" i="6"/>
  <c r="N18" i="6"/>
  <c r="K19" i="6"/>
  <c r="K60" i="6" s="1"/>
  <c r="K102" i="6" s="1"/>
  <c r="T23" i="1"/>
  <c r="U23" i="1"/>
  <c r="V23" i="1"/>
  <c r="H20" i="6" s="1"/>
  <c r="S23" i="1"/>
  <c r="C59" i="6"/>
  <c r="O18" i="6"/>
  <c r="M22" i="1"/>
  <c r="C19" i="6" s="1"/>
  <c r="O22" i="1"/>
  <c r="E19" i="6" s="1"/>
  <c r="N22" i="1"/>
  <c r="D19" i="6" s="1"/>
  <c r="P22" i="1"/>
  <c r="B19" i="6" s="1"/>
  <c r="N19" i="6" s="1"/>
  <c r="Z21" i="1"/>
  <c r="I19" i="6"/>
  <c r="I60" i="6" s="1"/>
  <c r="C100" i="6"/>
  <c r="B58" i="6"/>
  <c r="O58" i="6"/>
  <c r="I100" i="6"/>
  <c r="H100" i="6" s="1"/>
  <c r="H58" i="6"/>
  <c r="P17" i="14"/>
  <c r="P18" i="14"/>
  <c r="U34" i="8"/>
  <c r="V34" i="8"/>
  <c r="K21" i="8"/>
  <c r="M21" i="8" s="1"/>
  <c r="C58" i="24"/>
  <c r="D97" i="24"/>
  <c r="F96" i="24"/>
  <c r="C97" i="24"/>
  <c r="F59" i="24"/>
  <c r="E59" i="24"/>
  <c r="E97" i="24"/>
  <c r="D59" i="24"/>
  <c r="Y82" i="14"/>
  <c r="Z83" i="14"/>
  <c r="B51" i="8"/>
  <c r="J56" i="10"/>
  <c r="P53" i="14"/>
  <c r="B57" i="13"/>
  <c r="C58" i="12"/>
  <c r="C26" i="10"/>
  <c r="I58" i="13"/>
  <c r="G27" i="10"/>
  <c r="T27" i="10" s="1"/>
  <c r="K59" i="12"/>
  <c r="D84" i="14"/>
  <c r="R84" i="14" s="1"/>
  <c r="Y84" i="14" s="1"/>
  <c r="E20" i="20"/>
  <c r="T54" i="14"/>
  <c r="F19" i="21"/>
  <c r="G19" i="20"/>
  <c r="B23" i="10"/>
  <c r="D22" i="10"/>
  <c r="C20" i="12"/>
  <c r="B20" i="13"/>
  <c r="E84" i="14"/>
  <c r="S84" i="14" s="1"/>
  <c r="Z84" i="14" s="1"/>
  <c r="I84" i="14"/>
  <c r="I59" i="10"/>
  <c r="F24" i="20"/>
  <c r="G24" i="21" s="1"/>
  <c r="Q83" i="14"/>
  <c r="I19" i="14"/>
  <c r="J85" i="14"/>
  <c r="F19" i="13"/>
  <c r="F19" i="14" s="1"/>
  <c r="D19" i="13"/>
  <c r="D19" i="14" s="1"/>
  <c r="D85" i="14" s="1"/>
  <c r="E19" i="13"/>
  <c r="E19" i="14" s="1"/>
  <c r="C19" i="13"/>
  <c r="C19" i="14" s="1"/>
  <c r="L20" i="13"/>
  <c r="L20" i="14" s="1"/>
  <c r="M20" i="13"/>
  <c r="M20" i="14" s="1"/>
  <c r="J20" i="13"/>
  <c r="J20" i="14" s="1"/>
  <c r="K20" i="13"/>
  <c r="K20" i="14" s="1"/>
  <c r="F84" i="14"/>
  <c r="T84" i="14" s="1"/>
  <c r="AA84" i="14" s="1"/>
  <c r="AA82" i="14"/>
  <c r="AA83" i="14"/>
  <c r="D56" i="13"/>
  <c r="D55" i="14" s="1"/>
  <c r="E56" i="13"/>
  <c r="E55" i="14" s="1"/>
  <c r="C56" i="13"/>
  <c r="C55" i="14" s="1"/>
  <c r="Q55" i="14" s="1"/>
  <c r="F56" i="13"/>
  <c r="F55" i="14" s="1"/>
  <c r="T55" i="14" s="1"/>
  <c r="B54" i="14"/>
  <c r="L57" i="13"/>
  <c r="L56" i="14" s="1"/>
  <c r="M57" i="13"/>
  <c r="M56" i="14" s="1"/>
  <c r="K57" i="13"/>
  <c r="K56" i="14" s="1"/>
  <c r="J57" i="13"/>
  <c r="J56" i="14" s="1"/>
  <c r="F24" i="10"/>
  <c r="S24" i="10" s="1"/>
  <c r="K21" i="12"/>
  <c r="H23" i="10"/>
  <c r="I21" i="13"/>
  <c r="C84" i="14"/>
  <c r="Q84" i="14" s="1"/>
  <c r="B18" i="14"/>
  <c r="Q54" i="14"/>
  <c r="K85" i="14"/>
  <c r="I55" i="14"/>
  <c r="I22" i="8"/>
  <c r="D25" i="8"/>
  <c r="Q25" i="8" s="1"/>
  <c r="C54" i="8"/>
  <c r="L24" i="8"/>
  <c r="C22" i="8"/>
  <c r="P22" i="8" s="1"/>
  <c r="R22" i="8" s="1"/>
  <c r="E21" i="8"/>
  <c r="D50" i="8"/>
  <c r="AB21" i="1" l="1"/>
  <c r="N26" i="12"/>
  <c r="N61" i="12"/>
  <c r="F26" i="12"/>
  <c r="F61" i="12"/>
  <c r="G26" i="12"/>
  <c r="G61" i="12"/>
  <c r="O26" i="12"/>
  <c r="O61" i="12"/>
  <c r="D25" i="12"/>
  <c r="D60" i="12"/>
  <c r="L60" i="12"/>
  <c r="L25" i="12"/>
  <c r="M61" i="12"/>
  <c r="E61" i="12"/>
  <c r="M26" i="12"/>
  <c r="E26" i="12"/>
  <c r="K16" i="21"/>
  <c r="P16" i="20"/>
  <c r="K15" i="21"/>
  <c r="P15" i="20"/>
  <c r="I16" i="21"/>
  <c r="H101" i="6"/>
  <c r="H59" i="6"/>
  <c r="W34" i="8"/>
  <c r="I20" i="20"/>
  <c r="J20" i="21" s="1"/>
  <c r="H54" i="8"/>
  <c r="H17" i="20"/>
  <c r="J17" i="20" s="1"/>
  <c r="G51" i="8"/>
  <c r="I51" i="8" s="1"/>
  <c r="D51" i="8"/>
  <c r="K26" i="10"/>
  <c r="P26" i="10"/>
  <c r="C61" i="10" s="1"/>
  <c r="J23" i="10"/>
  <c r="L23" i="10" s="1"/>
  <c r="O23" i="10"/>
  <c r="N58" i="6"/>
  <c r="N19" i="20" s="1"/>
  <c r="M19" i="20" s="1"/>
  <c r="L19" i="20" s="1"/>
  <c r="U24" i="10"/>
  <c r="Q22" i="10"/>
  <c r="D57" i="10" s="1"/>
  <c r="J57" i="10" s="1"/>
  <c r="B57" i="10"/>
  <c r="H57" i="10" s="1"/>
  <c r="C60" i="6"/>
  <c r="O19" i="6"/>
  <c r="J20" i="6"/>
  <c r="J61" i="6" s="1"/>
  <c r="J103" i="6" s="1"/>
  <c r="P19" i="6"/>
  <c r="D60" i="6"/>
  <c r="E60" i="6"/>
  <c r="Q19" i="6"/>
  <c r="Q59" i="6"/>
  <c r="E101" i="6"/>
  <c r="Q101" i="6" s="1"/>
  <c r="O100" i="6"/>
  <c r="Z22" i="1"/>
  <c r="D101" i="6"/>
  <c r="P101" i="6" s="1"/>
  <c r="P59" i="6"/>
  <c r="V24" i="1"/>
  <c r="H21" i="6" s="1"/>
  <c r="S24" i="1"/>
  <c r="U24" i="1"/>
  <c r="T24" i="1"/>
  <c r="H60" i="6"/>
  <c r="I102" i="6"/>
  <c r="N23" i="1"/>
  <c r="D20" i="6" s="1"/>
  <c r="O23" i="1"/>
  <c r="E20" i="6" s="1"/>
  <c r="M23" i="1"/>
  <c r="C20" i="6" s="1"/>
  <c r="P23" i="1"/>
  <c r="B20" i="6" s="1"/>
  <c r="N20" i="6" s="1"/>
  <c r="Y22" i="1"/>
  <c r="B59" i="6"/>
  <c r="C101" i="6"/>
  <c r="O59" i="6"/>
  <c r="AA22" i="1"/>
  <c r="K20" i="6"/>
  <c r="K61" i="6" s="1"/>
  <c r="K103" i="6" s="1"/>
  <c r="I20" i="6"/>
  <c r="I61" i="6" s="1"/>
  <c r="B100" i="6"/>
  <c r="N100" i="6" s="1"/>
  <c r="P100" i="6"/>
  <c r="V35" i="8"/>
  <c r="U35" i="8"/>
  <c r="W35" i="8" s="1"/>
  <c r="H19" i="21"/>
  <c r="K22" i="8"/>
  <c r="M22" i="8" s="1"/>
  <c r="C59" i="24"/>
  <c r="F60" i="24"/>
  <c r="D60" i="24"/>
  <c r="C98" i="24"/>
  <c r="E60" i="24"/>
  <c r="E98" i="24"/>
  <c r="F97" i="24"/>
  <c r="D98" i="24"/>
  <c r="E21" i="20"/>
  <c r="F21" i="21" s="1"/>
  <c r="P54" i="14"/>
  <c r="R85" i="14"/>
  <c r="Y85" i="14" s="1"/>
  <c r="R19" i="14"/>
  <c r="B19" i="14"/>
  <c r="C85" i="14"/>
  <c r="X82" i="14"/>
  <c r="P83" i="14"/>
  <c r="X83" i="14"/>
  <c r="W83" i="14" s="1"/>
  <c r="P84" i="14"/>
  <c r="K20" i="20" s="1"/>
  <c r="X84" i="14"/>
  <c r="W84" i="14" s="1"/>
  <c r="L20" i="21" s="1"/>
  <c r="I59" i="13"/>
  <c r="K60" i="12"/>
  <c r="G28" i="10"/>
  <c r="T28" i="10" s="1"/>
  <c r="B55" i="14"/>
  <c r="K86" i="14"/>
  <c r="S19" i="14"/>
  <c r="E85" i="14"/>
  <c r="S85" i="14" s="1"/>
  <c r="Z85" i="14" s="1"/>
  <c r="I60" i="10"/>
  <c r="F25" i="20"/>
  <c r="G25" i="21" s="1"/>
  <c r="I85" i="14"/>
  <c r="L58" i="13"/>
  <c r="L57" i="14" s="1"/>
  <c r="J58" i="13"/>
  <c r="J57" i="14" s="1"/>
  <c r="K58" i="13"/>
  <c r="K57" i="14" s="1"/>
  <c r="M58" i="13"/>
  <c r="M57" i="14" s="1"/>
  <c r="K21" i="13"/>
  <c r="K21" i="14" s="1"/>
  <c r="J21" i="13"/>
  <c r="J21" i="14" s="1"/>
  <c r="M21" i="13"/>
  <c r="M21" i="14" s="1"/>
  <c r="M87" i="14" s="1"/>
  <c r="L21" i="13"/>
  <c r="L21" i="14" s="1"/>
  <c r="I56" i="14"/>
  <c r="I20" i="14"/>
  <c r="J86" i="14"/>
  <c r="Q19" i="14"/>
  <c r="B21" i="13"/>
  <c r="D23" i="10"/>
  <c r="B24" i="10"/>
  <c r="C21" i="12"/>
  <c r="F57" i="13"/>
  <c r="F56" i="14" s="1"/>
  <c r="D57" i="13"/>
  <c r="D56" i="14" s="1"/>
  <c r="C57" i="13"/>
  <c r="C56" i="14" s="1"/>
  <c r="E57" i="13"/>
  <c r="E56" i="14" s="1"/>
  <c r="S56" i="14" s="1"/>
  <c r="L86" i="14"/>
  <c r="C59" i="12"/>
  <c r="B58" i="13"/>
  <c r="C27" i="10"/>
  <c r="B84" i="14"/>
  <c r="I22" i="13"/>
  <c r="F25" i="10"/>
  <c r="S25" i="10" s="1"/>
  <c r="K22" i="12"/>
  <c r="H24" i="10"/>
  <c r="M86" i="14"/>
  <c r="T19" i="14"/>
  <c r="F85" i="14"/>
  <c r="T85" i="14" s="1"/>
  <c r="AA85" i="14" s="1"/>
  <c r="S55" i="14"/>
  <c r="C20" i="13"/>
  <c r="C20" i="14" s="1"/>
  <c r="E20" i="13"/>
  <c r="E20" i="14" s="1"/>
  <c r="E86" i="14" s="1"/>
  <c r="F20" i="13"/>
  <c r="F20" i="14" s="1"/>
  <c r="F86" i="14" s="1"/>
  <c r="D20" i="13"/>
  <c r="D20" i="14" s="1"/>
  <c r="D86" i="14" s="1"/>
  <c r="R55" i="14"/>
  <c r="F20" i="21"/>
  <c r="G20" i="20"/>
  <c r="I23" i="8"/>
  <c r="B52" i="8"/>
  <c r="D26" i="8"/>
  <c r="Q26" i="8" s="1"/>
  <c r="C23" i="8"/>
  <c r="P23" i="8" s="1"/>
  <c r="R23" i="8" s="1"/>
  <c r="E22" i="8"/>
  <c r="C55" i="8"/>
  <c r="L25" i="8"/>
  <c r="AA23" i="1" l="1"/>
  <c r="F62" i="12"/>
  <c r="F27" i="12"/>
  <c r="N62" i="12"/>
  <c r="N27" i="12"/>
  <c r="E27" i="12"/>
  <c r="M62" i="12"/>
  <c r="M27" i="12"/>
  <c r="E62" i="12"/>
  <c r="O27" i="12"/>
  <c r="G62" i="12"/>
  <c r="G27" i="12"/>
  <c r="O62" i="12"/>
  <c r="L26" i="12"/>
  <c r="L61" i="12"/>
  <c r="D26" i="12"/>
  <c r="D61" i="12"/>
  <c r="N59" i="6"/>
  <c r="N20" i="20" s="1"/>
  <c r="M20" i="20" s="1"/>
  <c r="L20" i="20" s="1"/>
  <c r="E22" i="20"/>
  <c r="K17" i="21"/>
  <c r="P17" i="20"/>
  <c r="I17" i="21"/>
  <c r="H18" i="20"/>
  <c r="J18" i="20" s="1"/>
  <c r="G52" i="8"/>
  <c r="I52" i="8" s="1"/>
  <c r="I21" i="20"/>
  <c r="J21" i="21" s="1"/>
  <c r="H55" i="8"/>
  <c r="Z23" i="1"/>
  <c r="U25" i="10"/>
  <c r="Q23" i="10"/>
  <c r="D58" i="10" s="1"/>
  <c r="B58" i="10"/>
  <c r="H58" i="10" s="1"/>
  <c r="K27" i="10"/>
  <c r="P27" i="10"/>
  <c r="C62" i="10" s="1"/>
  <c r="J24" i="10"/>
  <c r="L24" i="10" s="1"/>
  <c r="O24" i="10"/>
  <c r="C61" i="6"/>
  <c r="O20" i="6"/>
  <c r="J21" i="6"/>
  <c r="J62" i="6" s="1"/>
  <c r="J104" i="6" s="1"/>
  <c r="AB22" i="1"/>
  <c r="E61" i="6"/>
  <c r="Q20" i="6"/>
  <c r="K21" i="6"/>
  <c r="K62" i="6" s="1"/>
  <c r="K104" i="6" s="1"/>
  <c r="H102" i="6"/>
  <c r="T25" i="1"/>
  <c r="U25" i="1"/>
  <c r="V25" i="1"/>
  <c r="H22" i="6" s="1"/>
  <c r="S25" i="1"/>
  <c r="D61" i="6"/>
  <c r="P20" i="6"/>
  <c r="I21" i="6"/>
  <c r="I62" i="6" s="1"/>
  <c r="C102" i="6"/>
  <c r="O102" i="6" s="1"/>
  <c r="B60" i="6"/>
  <c r="N60" i="6" s="1"/>
  <c r="N21" i="20" s="1"/>
  <c r="M21" i="20" s="1"/>
  <c r="L21" i="20" s="1"/>
  <c r="O60" i="6"/>
  <c r="E102" i="6"/>
  <c r="Q102" i="6" s="1"/>
  <c r="Q60" i="6"/>
  <c r="N24" i="1"/>
  <c r="D21" i="6" s="1"/>
  <c r="M24" i="1"/>
  <c r="C21" i="6" s="1"/>
  <c r="O24" i="1"/>
  <c r="E21" i="6" s="1"/>
  <c r="P24" i="1"/>
  <c r="B21" i="6" s="1"/>
  <c r="H61" i="6"/>
  <c r="I103" i="6"/>
  <c r="H103" i="6" s="1"/>
  <c r="O101" i="6"/>
  <c r="B101" i="6"/>
  <c r="N101" i="6" s="1"/>
  <c r="D102" i="6"/>
  <c r="P60" i="6"/>
  <c r="Y23" i="1"/>
  <c r="U36" i="8"/>
  <c r="V36" i="8"/>
  <c r="H20" i="21"/>
  <c r="K23" i="8"/>
  <c r="M23" i="8" s="1"/>
  <c r="C60" i="24"/>
  <c r="E99" i="24"/>
  <c r="D99" i="24"/>
  <c r="F98" i="24"/>
  <c r="D61" i="24"/>
  <c r="E61" i="24"/>
  <c r="F61" i="24"/>
  <c r="C99" i="24"/>
  <c r="G21" i="20"/>
  <c r="R86" i="14"/>
  <c r="Y86" i="14" s="1"/>
  <c r="P55" i="14"/>
  <c r="B85" i="14"/>
  <c r="T86" i="14"/>
  <c r="AA86" i="14" s="1"/>
  <c r="S20" i="14"/>
  <c r="P19" i="14"/>
  <c r="F26" i="20"/>
  <c r="G26" i="21" s="1"/>
  <c r="I61" i="10"/>
  <c r="B20" i="14"/>
  <c r="C86" i="14"/>
  <c r="B86" i="14" s="1"/>
  <c r="T20" i="14"/>
  <c r="T56" i="14"/>
  <c r="I86" i="14"/>
  <c r="L87" i="14"/>
  <c r="L59" i="13"/>
  <c r="L58" i="14" s="1"/>
  <c r="K59" i="13"/>
  <c r="K58" i="14" s="1"/>
  <c r="M59" i="13"/>
  <c r="M58" i="14" s="1"/>
  <c r="J59" i="13"/>
  <c r="J58" i="14" s="1"/>
  <c r="L19" i="21"/>
  <c r="W82" i="14"/>
  <c r="L18" i="21" s="1"/>
  <c r="C58" i="13"/>
  <c r="C57" i="14" s="1"/>
  <c r="Q57" i="14" s="1"/>
  <c r="D58" i="13"/>
  <c r="D57" i="14" s="1"/>
  <c r="E58" i="13"/>
  <c r="E57" i="14" s="1"/>
  <c r="F58" i="13"/>
  <c r="F57" i="14" s="1"/>
  <c r="T57" i="14" s="1"/>
  <c r="B22" i="13"/>
  <c r="C22" i="12"/>
  <c r="B25" i="10"/>
  <c r="D24" i="10"/>
  <c r="F22" i="21"/>
  <c r="G22" i="20"/>
  <c r="K87" i="14"/>
  <c r="D21" i="13"/>
  <c r="D21" i="14" s="1"/>
  <c r="D87" i="14" s="1"/>
  <c r="C21" i="13"/>
  <c r="C21" i="14" s="1"/>
  <c r="Q21" i="14" s="1"/>
  <c r="E21" i="13"/>
  <c r="E21" i="14" s="1"/>
  <c r="E87" i="14" s="1"/>
  <c r="F21" i="13"/>
  <c r="F21" i="14" s="1"/>
  <c r="Q20" i="14"/>
  <c r="Q85" i="14"/>
  <c r="R20" i="14"/>
  <c r="K19" i="20"/>
  <c r="P82" i="14"/>
  <c r="K18" i="20" s="1"/>
  <c r="J22" i="13"/>
  <c r="J22" i="14" s="1"/>
  <c r="M22" i="13"/>
  <c r="M22" i="14" s="1"/>
  <c r="L22" i="13"/>
  <c r="L22" i="14" s="1"/>
  <c r="K22" i="13"/>
  <c r="K22" i="14" s="1"/>
  <c r="R56" i="14"/>
  <c r="I23" i="13"/>
  <c r="H25" i="10"/>
  <c r="F26" i="10"/>
  <c r="S26" i="10" s="1"/>
  <c r="K23" i="12"/>
  <c r="B59" i="13"/>
  <c r="C28" i="10"/>
  <c r="C60" i="12"/>
  <c r="S86" i="14"/>
  <c r="Z86" i="14" s="1"/>
  <c r="B56" i="14"/>
  <c r="Q56" i="14"/>
  <c r="J58" i="10"/>
  <c r="J87" i="14"/>
  <c r="I21" i="14"/>
  <c r="I57" i="14"/>
  <c r="I60" i="13"/>
  <c r="G29" i="10"/>
  <c r="T29" i="10" s="1"/>
  <c r="K61" i="12"/>
  <c r="I24" i="8"/>
  <c r="C56" i="8"/>
  <c r="L26" i="8"/>
  <c r="D52" i="8"/>
  <c r="B53" i="8"/>
  <c r="C24" i="8"/>
  <c r="P24" i="8" s="1"/>
  <c r="R24" i="8" s="1"/>
  <c r="E23" i="8"/>
  <c r="D27" i="8"/>
  <c r="Q27" i="8" s="1"/>
  <c r="D62" i="12" l="1"/>
  <c r="L62" i="12"/>
  <c r="L27" i="12"/>
  <c r="D27" i="12"/>
  <c r="G28" i="12"/>
  <c r="G63" i="12"/>
  <c r="O28" i="12"/>
  <c r="O63" i="12"/>
  <c r="F63" i="12"/>
  <c r="N63" i="12"/>
  <c r="N28" i="12"/>
  <c r="F28" i="12"/>
  <c r="M63" i="12"/>
  <c r="M28" i="12"/>
  <c r="E63" i="12"/>
  <c r="E28" i="12"/>
  <c r="I18" i="21"/>
  <c r="AB23" i="1"/>
  <c r="W36" i="8"/>
  <c r="K18" i="21"/>
  <c r="P18" i="20"/>
  <c r="Y24" i="1"/>
  <c r="Z24" i="1"/>
  <c r="H19" i="20"/>
  <c r="J19" i="20" s="1"/>
  <c r="G53" i="8"/>
  <c r="I53" i="8" s="1"/>
  <c r="I22" i="20"/>
  <c r="J22" i="21" s="1"/>
  <c r="H56" i="8"/>
  <c r="K28" i="10"/>
  <c r="P28" i="10"/>
  <c r="C63" i="10" s="1"/>
  <c r="U26" i="10"/>
  <c r="J25" i="10"/>
  <c r="L25" i="10" s="1"/>
  <c r="O25" i="10"/>
  <c r="Q24" i="10"/>
  <c r="D59" i="10" s="1"/>
  <c r="J59" i="10" s="1"/>
  <c r="B59" i="10"/>
  <c r="H59" i="10" s="1"/>
  <c r="K22" i="6"/>
  <c r="K63" i="6" s="1"/>
  <c r="K105" i="6" s="1"/>
  <c r="B102" i="6"/>
  <c r="N102" i="6" s="1"/>
  <c r="P102" i="6"/>
  <c r="C62" i="6"/>
  <c r="O21" i="6"/>
  <c r="I104" i="6"/>
  <c r="H104" i="6" s="1"/>
  <c r="H62" i="6"/>
  <c r="N21" i="6"/>
  <c r="D62" i="6"/>
  <c r="P21" i="6"/>
  <c r="J22" i="6"/>
  <c r="J63" i="6" s="1"/>
  <c r="J105" i="6" s="1"/>
  <c r="O25" i="1"/>
  <c r="E22" i="6" s="1"/>
  <c r="P25" i="1"/>
  <c r="B22" i="6" s="1"/>
  <c r="N22" i="6" s="1"/>
  <c r="M25" i="1"/>
  <c r="C22" i="6" s="1"/>
  <c r="N25" i="1"/>
  <c r="D22" i="6" s="1"/>
  <c r="Q21" i="6"/>
  <c r="E62" i="6"/>
  <c r="D103" i="6"/>
  <c r="P103" i="6" s="1"/>
  <c r="P61" i="6"/>
  <c r="AA24" i="1"/>
  <c r="C103" i="6"/>
  <c r="B61" i="6"/>
  <c r="N61" i="6" s="1"/>
  <c r="N22" i="20" s="1"/>
  <c r="M22" i="20" s="1"/>
  <c r="L22" i="20" s="1"/>
  <c r="I22" i="6"/>
  <c r="I63" i="6" s="1"/>
  <c r="S26" i="1"/>
  <c r="V26" i="1"/>
  <c r="H23" i="6" s="1"/>
  <c r="U26" i="1"/>
  <c r="T26" i="1"/>
  <c r="O61" i="6"/>
  <c r="Q61" i="6"/>
  <c r="E103" i="6"/>
  <c r="Q103" i="6" s="1"/>
  <c r="H21" i="21"/>
  <c r="H22" i="21"/>
  <c r="K24" i="8"/>
  <c r="M24" i="8" s="1"/>
  <c r="C61" i="24"/>
  <c r="D100" i="24"/>
  <c r="F62" i="24"/>
  <c r="C100" i="24"/>
  <c r="E100" i="24"/>
  <c r="D62" i="24"/>
  <c r="E62" i="24"/>
  <c r="F99" i="24"/>
  <c r="E23" i="20"/>
  <c r="F23" i="21" s="1"/>
  <c r="S87" i="14"/>
  <c r="Z87" i="14" s="1"/>
  <c r="I62" i="10"/>
  <c r="F27" i="20"/>
  <c r="G27" i="21" s="1"/>
  <c r="I87" i="14"/>
  <c r="M60" i="13"/>
  <c r="M59" i="14" s="1"/>
  <c r="L60" i="13"/>
  <c r="L59" i="14" s="1"/>
  <c r="J60" i="13"/>
  <c r="J59" i="14" s="1"/>
  <c r="K60" i="13"/>
  <c r="K59" i="14" s="1"/>
  <c r="J23" i="13"/>
  <c r="J23" i="14" s="1"/>
  <c r="L23" i="13"/>
  <c r="L23" i="14" s="1"/>
  <c r="L89" i="14" s="1"/>
  <c r="M23" i="13"/>
  <c r="M23" i="14" s="1"/>
  <c r="K23" i="13"/>
  <c r="K23" i="14" s="1"/>
  <c r="L88" i="14"/>
  <c r="R87" i="14"/>
  <c r="Y87" i="14" s="1"/>
  <c r="B57" i="14"/>
  <c r="Q86" i="14"/>
  <c r="I61" i="13"/>
  <c r="K62" i="12"/>
  <c r="G30" i="10"/>
  <c r="T30" i="10" s="1"/>
  <c r="K88" i="14"/>
  <c r="X85" i="14"/>
  <c r="W85" i="14" s="1"/>
  <c r="L21" i="21" s="1"/>
  <c r="P85" i="14"/>
  <c r="K21" i="20" s="1"/>
  <c r="I58" i="14"/>
  <c r="P56" i="14"/>
  <c r="M88" i="14"/>
  <c r="R57" i="14"/>
  <c r="B21" i="14"/>
  <c r="C87" i="14"/>
  <c r="Q87" i="14" s="1"/>
  <c r="R21" i="14"/>
  <c r="B26" i="10"/>
  <c r="D25" i="10"/>
  <c r="B23" i="13"/>
  <c r="C23" i="12"/>
  <c r="C59" i="13"/>
  <c r="C58" i="14" s="1"/>
  <c r="Q58" i="14" s="1"/>
  <c r="E59" i="13"/>
  <c r="E58" i="14" s="1"/>
  <c r="S58" i="14" s="1"/>
  <c r="D59" i="13"/>
  <c r="D58" i="14" s="1"/>
  <c r="F59" i="13"/>
  <c r="F58" i="14" s="1"/>
  <c r="T21" i="14"/>
  <c r="F87" i="14"/>
  <c r="T87" i="14" s="1"/>
  <c r="AA87" i="14" s="1"/>
  <c r="D22" i="13"/>
  <c r="D22" i="14" s="1"/>
  <c r="D88" i="14" s="1"/>
  <c r="C22" i="13"/>
  <c r="C22" i="14" s="1"/>
  <c r="Q22" i="14" s="1"/>
  <c r="E22" i="13"/>
  <c r="E22" i="14" s="1"/>
  <c r="E88" i="14" s="1"/>
  <c r="F22" i="13"/>
  <c r="F22" i="14" s="1"/>
  <c r="F88" i="14" s="1"/>
  <c r="B60" i="13"/>
  <c r="C29" i="10"/>
  <c r="C61" i="12"/>
  <c r="I24" i="13"/>
  <c r="F27" i="10"/>
  <c r="S27" i="10" s="1"/>
  <c r="K24" i="12"/>
  <c r="H26" i="10"/>
  <c r="I22" i="14"/>
  <c r="J88" i="14"/>
  <c r="P20" i="14"/>
  <c r="S21" i="14"/>
  <c r="S57" i="14"/>
  <c r="E24" i="8"/>
  <c r="C25" i="8"/>
  <c r="P25" i="8" s="1"/>
  <c r="R25" i="8" s="1"/>
  <c r="D53" i="8"/>
  <c r="I25" i="8"/>
  <c r="B54" i="8"/>
  <c r="D28" i="8"/>
  <c r="Q28" i="8" s="1"/>
  <c r="C57" i="8"/>
  <c r="L27" i="8"/>
  <c r="O29" i="12" l="1"/>
  <c r="G29" i="12"/>
  <c r="O64" i="12"/>
  <c r="G64" i="12"/>
  <c r="L63" i="12"/>
  <c r="L28" i="12"/>
  <c r="D63" i="12"/>
  <c r="D28" i="12"/>
  <c r="N29" i="12"/>
  <c r="F29" i="12"/>
  <c r="N64" i="12"/>
  <c r="F64" i="12"/>
  <c r="E64" i="12"/>
  <c r="M64" i="12"/>
  <c r="M29" i="12"/>
  <c r="E29" i="12"/>
  <c r="I19" i="21"/>
  <c r="K19" i="21"/>
  <c r="P19" i="20"/>
  <c r="AB24" i="1"/>
  <c r="Z25" i="1"/>
  <c r="Y25" i="1"/>
  <c r="H20" i="20"/>
  <c r="I20" i="21" s="1"/>
  <c r="G54" i="8"/>
  <c r="I54" i="8" s="1"/>
  <c r="I23" i="20"/>
  <c r="J23" i="21" s="1"/>
  <c r="H57" i="8"/>
  <c r="Q25" i="10"/>
  <c r="D60" i="10" s="1"/>
  <c r="J60" i="10" s="1"/>
  <c r="B60" i="10"/>
  <c r="H60" i="10" s="1"/>
  <c r="K29" i="10"/>
  <c r="P29" i="10"/>
  <c r="C64" i="10" s="1"/>
  <c r="U27" i="10"/>
  <c r="J26" i="10"/>
  <c r="L26" i="10" s="1"/>
  <c r="O26" i="10"/>
  <c r="T27" i="1"/>
  <c r="U27" i="1"/>
  <c r="S27" i="1"/>
  <c r="V27" i="1"/>
  <c r="H24" i="6" s="1"/>
  <c r="O62" i="6"/>
  <c r="C104" i="6"/>
  <c r="B62" i="6"/>
  <c r="N62" i="6" s="1"/>
  <c r="N23" i="20" s="1"/>
  <c r="M23" i="20" s="1"/>
  <c r="L23" i="20" s="1"/>
  <c r="D104" i="6"/>
  <c r="P104" i="6" s="1"/>
  <c r="P62" i="6"/>
  <c r="E104" i="6"/>
  <c r="Q104" i="6" s="1"/>
  <c r="Q62" i="6"/>
  <c r="P57" i="14"/>
  <c r="M26" i="1"/>
  <c r="C23" i="6" s="1"/>
  <c r="C64" i="6" s="1"/>
  <c r="O26" i="1"/>
  <c r="E23" i="6" s="1"/>
  <c r="N26" i="1"/>
  <c r="D23" i="6" s="1"/>
  <c r="P26" i="1"/>
  <c r="B23" i="6" s="1"/>
  <c r="J23" i="6"/>
  <c r="J64" i="6" s="1"/>
  <c r="J106" i="6" s="1"/>
  <c r="D63" i="6"/>
  <c r="P22" i="6"/>
  <c r="Q22" i="6"/>
  <c r="E63" i="6"/>
  <c r="H63" i="6"/>
  <c r="I105" i="6"/>
  <c r="H105" i="6" s="1"/>
  <c r="K23" i="6"/>
  <c r="K64" i="6" s="1"/>
  <c r="K106" i="6" s="1"/>
  <c r="B103" i="6"/>
  <c r="N103" i="6" s="1"/>
  <c r="O103" i="6"/>
  <c r="O22" i="6"/>
  <c r="C63" i="6"/>
  <c r="I23" i="6"/>
  <c r="AA25" i="1"/>
  <c r="K25" i="8"/>
  <c r="M25" i="8" s="1"/>
  <c r="C62" i="24"/>
  <c r="F100" i="24"/>
  <c r="F63" i="24"/>
  <c r="E101" i="24"/>
  <c r="E63" i="24"/>
  <c r="C101" i="24"/>
  <c r="D63" i="24"/>
  <c r="D101" i="24"/>
  <c r="G23" i="20"/>
  <c r="P21" i="14"/>
  <c r="T88" i="14"/>
  <c r="AA88" i="14" s="1"/>
  <c r="I63" i="10"/>
  <c r="F28" i="20"/>
  <c r="G28" i="21" s="1"/>
  <c r="E60" i="13"/>
  <c r="E59" i="14" s="1"/>
  <c r="F60" i="13"/>
  <c r="F59" i="14" s="1"/>
  <c r="T59" i="14" s="1"/>
  <c r="D60" i="13"/>
  <c r="D59" i="14" s="1"/>
  <c r="C60" i="13"/>
  <c r="C59" i="14" s="1"/>
  <c r="Q59" i="14" s="1"/>
  <c r="B58" i="14"/>
  <c r="C23" i="13"/>
  <c r="C23" i="14" s="1"/>
  <c r="F23" i="13"/>
  <c r="F23" i="14" s="1"/>
  <c r="F89" i="14" s="1"/>
  <c r="D23" i="13"/>
  <c r="D23" i="14" s="1"/>
  <c r="D89" i="14" s="1"/>
  <c r="E23" i="13"/>
  <c r="E23" i="14" s="1"/>
  <c r="R88" i="14"/>
  <c r="Y88" i="14" s="1"/>
  <c r="E24" i="20"/>
  <c r="S22" i="14"/>
  <c r="I23" i="14"/>
  <c r="J89" i="14"/>
  <c r="J24" i="13"/>
  <c r="J24" i="14" s="1"/>
  <c r="K24" i="13"/>
  <c r="K24" i="14" s="1"/>
  <c r="M24" i="13"/>
  <c r="M24" i="14" s="1"/>
  <c r="L24" i="13"/>
  <c r="L24" i="14" s="1"/>
  <c r="T58" i="14"/>
  <c r="I88" i="14"/>
  <c r="R58" i="14"/>
  <c r="B87" i="14"/>
  <c r="T22" i="14"/>
  <c r="R22" i="14"/>
  <c r="K61" i="13"/>
  <c r="K60" i="14" s="1"/>
  <c r="M61" i="13"/>
  <c r="M60" i="14" s="1"/>
  <c r="J61" i="13"/>
  <c r="J60" i="14" s="1"/>
  <c r="L61" i="13"/>
  <c r="L60" i="14" s="1"/>
  <c r="X86" i="14"/>
  <c r="W86" i="14" s="1"/>
  <c r="L22" i="21" s="1"/>
  <c r="P86" i="14"/>
  <c r="K22" i="20" s="1"/>
  <c r="K89" i="14"/>
  <c r="B22" i="14"/>
  <c r="C88" i="14"/>
  <c r="B88" i="14" s="1"/>
  <c r="P87" i="14"/>
  <c r="K23" i="20" s="1"/>
  <c r="X87" i="14"/>
  <c r="W87" i="14" s="1"/>
  <c r="L23" i="21" s="1"/>
  <c r="I25" i="13"/>
  <c r="K25" i="12"/>
  <c r="H27" i="10"/>
  <c r="F28" i="10"/>
  <c r="S28" i="10" s="1"/>
  <c r="B61" i="13"/>
  <c r="C30" i="10"/>
  <c r="C62" i="12"/>
  <c r="S88" i="14"/>
  <c r="Z88" i="14" s="1"/>
  <c r="D26" i="10"/>
  <c r="B24" i="13"/>
  <c r="B27" i="10"/>
  <c r="C24" i="12"/>
  <c r="I62" i="13"/>
  <c r="G31" i="10"/>
  <c r="T31" i="10" s="1"/>
  <c r="K63" i="12"/>
  <c r="M89" i="14"/>
  <c r="I59" i="14"/>
  <c r="D29" i="8"/>
  <c r="Q29" i="8" s="1"/>
  <c r="D54" i="8"/>
  <c r="B55" i="8"/>
  <c r="C58" i="8"/>
  <c r="L28" i="8"/>
  <c r="I26" i="8"/>
  <c r="E25" i="8"/>
  <c r="C26" i="8"/>
  <c r="P26" i="8" s="1"/>
  <c r="R26" i="8" s="1"/>
  <c r="E30" i="12" l="1"/>
  <c r="E65" i="12"/>
  <c r="M30" i="12"/>
  <c r="M65" i="12"/>
  <c r="N65" i="12"/>
  <c r="N30" i="12"/>
  <c r="F65" i="12"/>
  <c r="F30" i="12"/>
  <c r="O65" i="12"/>
  <c r="G30" i="12"/>
  <c r="O30" i="12"/>
  <c r="G65" i="12"/>
  <c r="L29" i="12"/>
  <c r="D29" i="12"/>
  <c r="L64" i="12"/>
  <c r="D64" i="12"/>
  <c r="J20" i="20"/>
  <c r="K20" i="21"/>
  <c r="P20" i="20"/>
  <c r="AB25" i="1"/>
  <c r="AA26" i="1"/>
  <c r="Z26" i="1"/>
  <c r="I24" i="20"/>
  <c r="J24" i="21" s="1"/>
  <c r="H58" i="8"/>
  <c r="H21" i="20"/>
  <c r="G55" i="8"/>
  <c r="I55" i="8" s="1"/>
  <c r="I21" i="21"/>
  <c r="J21" i="20"/>
  <c r="J27" i="10"/>
  <c r="L27" i="10" s="1"/>
  <c r="O27" i="10"/>
  <c r="K30" i="10"/>
  <c r="P30" i="10"/>
  <c r="C65" i="10" s="1"/>
  <c r="Q26" i="10"/>
  <c r="D61" i="10" s="1"/>
  <c r="J61" i="10" s="1"/>
  <c r="B61" i="10"/>
  <c r="H61" i="10" s="1"/>
  <c r="U28" i="10"/>
  <c r="D105" i="6"/>
  <c r="P105" i="6" s="1"/>
  <c r="P63" i="6"/>
  <c r="C106" i="6"/>
  <c r="I24" i="6"/>
  <c r="K24" i="6"/>
  <c r="K65" i="6" s="1"/>
  <c r="K107" i="6" s="1"/>
  <c r="O23" i="6"/>
  <c r="I64" i="6"/>
  <c r="O64" i="6" s="1"/>
  <c r="N23" i="6"/>
  <c r="J24" i="6"/>
  <c r="J65" i="6" s="1"/>
  <c r="J107" i="6" s="1"/>
  <c r="S28" i="1"/>
  <c r="T28" i="1"/>
  <c r="U28" i="1"/>
  <c r="V28" i="1"/>
  <c r="H25" i="6" s="1"/>
  <c r="Y26" i="1"/>
  <c r="D64" i="6"/>
  <c r="P23" i="6"/>
  <c r="M27" i="1"/>
  <c r="C24" i="6" s="1"/>
  <c r="C65" i="6" s="1"/>
  <c r="N27" i="1"/>
  <c r="D24" i="6" s="1"/>
  <c r="O27" i="1"/>
  <c r="E24" i="6" s="1"/>
  <c r="P27" i="1"/>
  <c r="B24" i="6" s="1"/>
  <c r="N24" i="6" s="1"/>
  <c r="C105" i="6"/>
  <c r="B63" i="6"/>
  <c r="N63" i="6" s="1"/>
  <c r="N24" i="20" s="1"/>
  <c r="M24" i="20" s="1"/>
  <c r="L24" i="20" s="1"/>
  <c r="O63" i="6"/>
  <c r="E105" i="6"/>
  <c r="Q105" i="6" s="1"/>
  <c r="Q63" i="6"/>
  <c r="E64" i="6"/>
  <c r="Q23" i="6"/>
  <c r="O104" i="6"/>
  <c r="B104" i="6"/>
  <c r="N104" i="6" s="1"/>
  <c r="H23" i="21"/>
  <c r="K26" i="8"/>
  <c r="M26" i="8" s="1"/>
  <c r="C63" i="24"/>
  <c r="E64" i="24"/>
  <c r="F101" i="24"/>
  <c r="D102" i="24"/>
  <c r="D64" i="24"/>
  <c r="E102" i="24"/>
  <c r="F64" i="24"/>
  <c r="C102" i="24"/>
  <c r="T23" i="14"/>
  <c r="P58" i="14"/>
  <c r="T89" i="14"/>
  <c r="AA89" i="14" s="1"/>
  <c r="R89" i="14"/>
  <c r="Y89" i="14" s="1"/>
  <c r="R23" i="14"/>
  <c r="I64" i="10"/>
  <c r="F29" i="20"/>
  <c r="G29" i="21" s="1"/>
  <c r="J62" i="13"/>
  <c r="J61" i="14" s="1"/>
  <c r="K62" i="13"/>
  <c r="K61" i="14" s="1"/>
  <c r="M62" i="13"/>
  <c r="M61" i="14" s="1"/>
  <c r="L62" i="13"/>
  <c r="L61" i="14" s="1"/>
  <c r="B23" i="14"/>
  <c r="C89" i="14"/>
  <c r="Q89" i="14" s="1"/>
  <c r="I26" i="13"/>
  <c r="F29" i="10"/>
  <c r="S29" i="10" s="1"/>
  <c r="K26" i="12"/>
  <c r="H28" i="10"/>
  <c r="P22" i="14"/>
  <c r="E25" i="20"/>
  <c r="K90" i="14"/>
  <c r="I89" i="14"/>
  <c r="S23" i="14"/>
  <c r="E89" i="14"/>
  <c r="S89" i="14" s="1"/>
  <c r="Z89" i="14" s="1"/>
  <c r="B59" i="14"/>
  <c r="B62" i="13"/>
  <c r="C31" i="10"/>
  <c r="C63" i="12"/>
  <c r="I60" i="14"/>
  <c r="Q88" i="14"/>
  <c r="I24" i="14"/>
  <c r="J90" i="14"/>
  <c r="Q23" i="14"/>
  <c r="G24" i="20"/>
  <c r="F24" i="21"/>
  <c r="R59" i="14"/>
  <c r="B28" i="10"/>
  <c r="C25" i="12"/>
  <c r="D27" i="10"/>
  <c r="B25" i="13"/>
  <c r="M25" i="13"/>
  <c r="M25" i="14" s="1"/>
  <c r="M91" i="14" s="1"/>
  <c r="K25" i="13"/>
  <c r="K25" i="14" s="1"/>
  <c r="L25" i="13"/>
  <c r="L25" i="14" s="1"/>
  <c r="J25" i="13"/>
  <c r="J25" i="14" s="1"/>
  <c r="M90" i="14"/>
  <c r="C24" i="13"/>
  <c r="C24" i="14" s="1"/>
  <c r="F24" i="13"/>
  <c r="F24" i="14" s="1"/>
  <c r="F90" i="14" s="1"/>
  <c r="D24" i="13"/>
  <c r="D24" i="14" s="1"/>
  <c r="D90" i="14" s="1"/>
  <c r="E24" i="13"/>
  <c r="E24" i="14" s="1"/>
  <c r="E90" i="14" s="1"/>
  <c r="I63" i="13"/>
  <c r="G32" i="10"/>
  <c r="T32" i="10" s="1"/>
  <c r="K64" i="12"/>
  <c r="E61" i="13"/>
  <c r="E60" i="14" s="1"/>
  <c r="S60" i="14" s="1"/>
  <c r="D61" i="13"/>
  <c r="D60" i="14" s="1"/>
  <c r="F61" i="13"/>
  <c r="F60" i="14" s="1"/>
  <c r="C61" i="13"/>
  <c r="C60" i="14" s="1"/>
  <c r="L90" i="14"/>
  <c r="S59" i="14"/>
  <c r="C59" i="8"/>
  <c r="L29" i="8"/>
  <c r="B56" i="8"/>
  <c r="D30" i="8"/>
  <c r="Q30" i="8" s="1"/>
  <c r="I27" i="8"/>
  <c r="C27" i="8"/>
  <c r="P27" i="8" s="1"/>
  <c r="R27" i="8" s="1"/>
  <c r="E26" i="8"/>
  <c r="D55" i="8"/>
  <c r="M31" i="12" l="1"/>
  <c r="E31" i="12"/>
  <c r="E66" i="12"/>
  <c r="M66" i="12"/>
  <c r="N66" i="12"/>
  <c r="F31" i="12"/>
  <c r="N31" i="12"/>
  <c r="F66" i="12"/>
  <c r="D30" i="12"/>
  <c r="L30" i="12"/>
  <c r="D65" i="12"/>
  <c r="L65" i="12"/>
  <c r="G31" i="12"/>
  <c r="O31" i="12"/>
  <c r="G66" i="12"/>
  <c r="O66" i="12"/>
  <c r="K21" i="21"/>
  <c r="P21" i="20"/>
  <c r="AB26" i="1"/>
  <c r="I25" i="20"/>
  <c r="J25" i="21" s="1"/>
  <c r="H59" i="8"/>
  <c r="H22" i="20"/>
  <c r="I22" i="21" s="1"/>
  <c r="G56" i="8"/>
  <c r="I56" i="8" s="1"/>
  <c r="J22" i="20"/>
  <c r="Y27" i="1"/>
  <c r="K31" i="10"/>
  <c r="P31" i="10"/>
  <c r="C66" i="10" s="1"/>
  <c r="U29" i="10"/>
  <c r="Q27" i="10"/>
  <c r="D62" i="10" s="1"/>
  <c r="J62" i="10" s="1"/>
  <c r="B62" i="10"/>
  <c r="H62" i="10" s="1"/>
  <c r="J28" i="10"/>
  <c r="L28" i="10" s="1"/>
  <c r="O28" i="10"/>
  <c r="D106" i="6"/>
  <c r="P64" i="6"/>
  <c r="B105" i="6"/>
  <c r="N105" i="6" s="1"/>
  <c r="O105" i="6"/>
  <c r="B64" i="6"/>
  <c r="O24" i="6"/>
  <c r="I65" i="6"/>
  <c r="N28" i="1"/>
  <c r="D25" i="6" s="1"/>
  <c r="O28" i="1"/>
  <c r="E25" i="6" s="1"/>
  <c r="M28" i="1"/>
  <c r="C25" i="6" s="1"/>
  <c r="P28" i="1"/>
  <c r="B25" i="6" s="1"/>
  <c r="N25" i="6" s="1"/>
  <c r="K25" i="6"/>
  <c r="K66" i="6" s="1"/>
  <c r="K108" i="6" s="1"/>
  <c r="H64" i="6"/>
  <c r="I106" i="6"/>
  <c r="H106" i="6" s="1"/>
  <c r="E65" i="6"/>
  <c r="Q24" i="6"/>
  <c r="J25" i="6"/>
  <c r="J66" i="6" s="1"/>
  <c r="J108" i="6" s="1"/>
  <c r="E106" i="6"/>
  <c r="Q106" i="6" s="1"/>
  <c r="Q64" i="6"/>
  <c r="D65" i="6"/>
  <c r="P24" i="6"/>
  <c r="I25" i="6"/>
  <c r="I66" i="6" s="1"/>
  <c r="T29" i="1"/>
  <c r="U29" i="1"/>
  <c r="V29" i="1"/>
  <c r="H26" i="6" s="1"/>
  <c r="S29" i="1"/>
  <c r="C107" i="6"/>
  <c r="Z27" i="1"/>
  <c r="AA27" i="1"/>
  <c r="H24" i="21"/>
  <c r="K27" i="8"/>
  <c r="M27" i="8" s="1"/>
  <c r="C64" i="24"/>
  <c r="E103" i="24"/>
  <c r="F65" i="24"/>
  <c r="C103" i="24"/>
  <c r="F102" i="24"/>
  <c r="D65" i="24"/>
  <c r="E65" i="24"/>
  <c r="D103" i="24"/>
  <c r="B57" i="8"/>
  <c r="P59" i="14"/>
  <c r="R24" i="14"/>
  <c r="S90" i="14"/>
  <c r="Z90" i="14" s="1"/>
  <c r="S24" i="14"/>
  <c r="P23" i="14"/>
  <c r="R90" i="14"/>
  <c r="Y90" i="14" s="1"/>
  <c r="K63" i="13"/>
  <c r="K62" i="14" s="1"/>
  <c r="L63" i="13"/>
  <c r="L62" i="14" s="1"/>
  <c r="J63" i="13"/>
  <c r="J62" i="14" s="1"/>
  <c r="M63" i="13"/>
  <c r="M62" i="14" s="1"/>
  <c r="E26" i="20"/>
  <c r="B24" i="14"/>
  <c r="C90" i="14"/>
  <c r="B90" i="14" s="1"/>
  <c r="I25" i="14"/>
  <c r="J91" i="14"/>
  <c r="Q24" i="14"/>
  <c r="B63" i="13"/>
  <c r="C32" i="10"/>
  <c r="C64" i="12"/>
  <c r="B60" i="14"/>
  <c r="I65" i="10"/>
  <c r="F30" i="20"/>
  <c r="G30" i="21" s="1"/>
  <c r="L91" i="14"/>
  <c r="X88" i="14"/>
  <c r="W88" i="14" s="1"/>
  <c r="L24" i="21" s="1"/>
  <c r="P88" i="14"/>
  <c r="K24" i="20" s="1"/>
  <c r="C62" i="13"/>
  <c r="C61" i="14" s="1"/>
  <c r="Q61" i="14" s="1"/>
  <c r="D62" i="13"/>
  <c r="D61" i="14" s="1"/>
  <c r="R61" i="14" s="1"/>
  <c r="E62" i="13"/>
  <c r="E61" i="14" s="1"/>
  <c r="S61" i="14" s="1"/>
  <c r="F62" i="13"/>
  <c r="F61" i="14" s="1"/>
  <c r="B89" i="14"/>
  <c r="I61" i="14"/>
  <c r="T24" i="14"/>
  <c r="B29" i="10"/>
  <c r="B26" i="13"/>
  <c r="C26" i="12"/>
  <c r="D28" i="10"/>
  <c r="J26" i="13"/>
  <c r="J26" i="14" s="1"/>
  <c r="K26" i="13"/>
  <c r="K26" i="14" s="1"/>
  <c r="M26" i="13"/>
  <c r="M26" i="14" s="1"/>
  <c r="M92" i="14" s="1"/>
  <c r="L26" i="13"/>
  <c r="L26" i="14" s="1"/>
  <c r="R60" i="14"/>
  <c r="E25" i="13"/>
  <c r="E25" i="14" s="1"/>
  <c r="E91" i="14" s="1"/>
  <c r="C25" i="13"/>
  <c r="C25" i="14" s="1"/>
  <c r="F25" i="13"/>
  <c r="F25" i="14" s="1"/>
  <c r="D25" i="13"/>
  <c r="D25" i="14" s="1"/>
  <c r="D91" i="14" s="1"/>
  <c r="T60" i="14"/>
  <c r="T33" i="10"/>
  <c r="I64" i="13"/>
  <c r="K65" i="12"/>
  <c r="T90" i="14"/>
  <c r="AA90" i="14" s="1"/>
  <c r="K91" i="14"/>
  <c r="I90" i="14"/>
  <c r="Q60" i="14"/>
  <c r="P89" i="14"/>
  <c r="K25" i="20" s="1"/>
  <c r="X89" i="14"/>
  <c r="W89" i="14" s="1"/>
  <c r="L25" i="21" s="1"/>
  <c r="F25" i="21"/>
  <c r="G25" i="20"/>
  <c r="I27" i="13"/>
  <c r="F30" i="10"/>
  <c r="S30" i="10" s="1"/>
  <c r="K27" i="12"/>
  <c r="H29" i="10"/>
  <c r="I28" i="8"/>
  <c r="E27" i="8"/>
  <c r="C28" i="8"/>
  <c r="P28" i="8" s="1"/>
  <c r="R28" i="8" s="1"/>
  <c r="D56" i="8"/>
  <c r="L30" i="8"/>
  <c r="D31" i="8"/>
  <c r="Q31" i="8" s="1"/>
  <c r="L66" i="12" l="1"/>
  <c r="D31" i="12"/>
  <c r="L31" i="12"/>
  <c r="D66" i="12"/>
  <c r="F32" i="12"/>
  <c r="F67" i="12"/>
  <c r="N32" i="12"/>
  <c r="N67" i="12"/>
  <c r="O32" i="12"/>
  <c r="O67" i="12"/>
  <c r="G32" i="12"/>
  <c r="G67" i="12"/>
  <c r="E67" i="12"/>
  <c r="E32" i="12"/>
  <c r="M67" i="12"/>
  <c r="M32" i="12"/>
  <c r="K22" i="21"/>
  <c r="P22" i="20"/>
  <c r="AA28" i="1"/>
  <c r="Z28" i="1"/>
  <c r="H23" i="20"/>
  <c r="I23" i="21" s="1"/>
  <c r="G57" i="8"/>
  <c r="I57" i="8" s="1"/>
  <c r="J29" i="10"/>
  <c r="L29" i="10" s="1"/>
  <c r="O29" i="10"/>
  <c r="Y28" i="1"/>
  <c r="Q28" i="10"/>
  <c r="D63" i="10" s="1"/>
  <c r="B63" i="10"/>
  <c r="H63" i="10" s="1"/>
  <c r="U30" i="10"/>
  <c r="K32" i="10"/>
  <c r="P32" i="10"/>
  <c r="C67" i="10" s="1"/>
  <c r="I26" i="6"/>
  <c r="I67" i="6" s="1"/>
  <c r="N64" i="6"/>
  <c r="N25" i="20" s="1"/>
  <c r="M25" i="20" s="1"/>
  <c r="L25" i="20" s="1"/>
  <c r="H65" i="6"/>
  <c r="I107" i="6"/>
  <c r="H107" i="6" s="1"/>
  <c r="K26" i="6"/>
  <c r="K67" i="6" s="1"/>
  <c r="K109" i="6" s="1"/>
  <c r="J26" i="6"/>
  <c r="J67" i="6" s="1"/>
  <c r="J109" i="6" s="1"/>
  <c r="S30" i="1"/>
  <c r="V30" i="1"/>
  <c r="H27" i="6" s="1"/>
  <c r="T30" i="1"/>
  <c r="U30" i="1"/>
  <c r="AB27" i="1"/>
  <c r="C66" i="6"/>
  <c r="O25" i="6"/>
  <c r="D107" i="6"/>
  <c r="P65" i="6"/>
  <c r="O29" i="1"/>
  <c r="E26" i="6" s="1"/>
  <c r="P29" i="1"/>
  <c r="B26" i="6" s="1"/>
  <c r="N26" i="6" s="1"/>
  <c r="M29" i="1"/>
  <c r="C26" i="6" s="1"/>
  <c r="N29" i="1"/>
  <c r="D26" i="6" s="1"/>
  <c r="O65" i="6"/>
  <c r="I108" i="6"/>
  <c r="H108" i="6" s="1"/>
  <c r="H66" i="6"/>
  <c r="E107" i="6"/>
  <c r="Q107" i="6" s="1"/>
  <c r="Q65" i="6"/>
  <c r="Q25" i="6"/>
  <c r="E66" i="6"/>
  <c r="B106" i="6"/>
  <c r="N106" i="6" s="1"/>
  <c r="P106" i="6"/>
  <c r="B65" i="6"/>
  <c r="O106" i="6"/>
  <c r="P25" i="6"/>
  <c r="D66" i="6"/>
  <c r="H25" i="21"/>
  <c r="K28" i="8"/>
  <c r="M28" i="8" s="1"/>
  <c r="D57" i="8"/>
  <c r="C65" i="24"/>
  <c r="E104" i="24"/>
  <c r="F103" i="24"/>
  <c r="C104" i="24"/>
  <c r="D104" i="24"/>
  <c r="F66" i="24"/>
  <c r="E66" i="24"/>
  <c r="D66" i="24"/>
  <c r="E27" i="20"/>
  <c r="G27" i="20" s="1"/>
  <c r="P24" i="14"/>
  <c r="R25" i="14"/>
  <c r="P60" i="14"/>
  <c r="F31" i="20"/>
  <c r="G31" i="21" s="1"/>
  <c r="I66" i="10"/>
  <c r="I28" i="13"/>
  <c r="F31" i="10"/>
  <c r="S31" i="10" s="1"/>
  <c r="K28" i="12"/>
  <c r="H30" i="10"/>
  <c r="Q90" i="14"/>
  <c r="B64" i="13"/>
  <c r="C65" i="12"/>
  <c r="T25" i="14"/>
  <c r="F91" i="14"/>
  <c r="T91" i="14" s="1"/>
  <c r="AA91" i="14" s="1"/>
  <c r="I26" i="14"/>
  <c r="J92" i="14"/>
  <c r="B61" i="14"/>
  <c r="S91" i="14"/>
  <c r="Z91" i="14" s="1"/>
  <c r="J63" i="10"/>
  <c r="D63" i="13"/>
  <c r="D62" i="14" s="1"/>
  <c r="E63" i="13"/>
  <c r="E62" i="14" s="1"/>
  <c r="S62" i="14" s="1"/>
  <c r="C63" i="13"/>
  <c r="C62" i="14" s="1"/>
  <c r="Q62" i="14" s="1"/>
  <c r="F63" i="13"/>
  <c r="F62" i="14" s="1"/>
  <c r="T62" i="14" s="1"/>
  <c r="M64" i="13"/>
  <c r="M63" i="14" s="1"/>
  <c r="K64" i="13"/>
  <c r="K63" i="14" s="1"/>
  <c r="L64" i="13"/>
  <c r="L63" i="14" s="1"/>
  <c r="J64" i="13"/>
  <c r="J63" i="14" s="1"/>
  <c r="B30" i="10"/>
  <c r="D29" i="10"/>
  <c r="B27" i="13"/>
  <c r="C27" i="12"/>
  <c r="F26" i="21"/>
  <c r="G26" i="20"/>
  <c r="T61" i="14"/>
  <c r="P61" i="14" s="1"/>
  <c r="L27" i="13"/>
  <c r="L27" i="14" s="1"/>
  <c r="K27" i="13"/>
  <c r="K27" i="14" s="1"/>
  <c r="J27" i="13"/>
  <c r="J27" i="14" s="1"/>
  <c r="M27" i="13"/>
  <c r="M27" i="14" s="1"/>
  <c r="I65" i="13"/>
  <c r="K66" i="12"/>
  <c r="T34" i="10"/>
  <c r="K92" i="14"/>
  <c r="I91" i="14"/>
  <c r="I62" i="14"/>
  <c r="R91" i="14"/>
  <c r="Y91" i="14" s="1"/>
  <c r="C91" i="14"/>
  <c r="B25" i="14"/>
  <c r="L92" i="14"/>
  <c r="E26" i="13"/>
  <c r="E26" i="14" s="1"/>
  <c r="E92" i="14" s="1"/>
  <c r="C26" i="13"/>
  <c r="C26" i="14" s="1"/>
  <c r="D26" i="13"/>
  <c r="D26" i="14" s="1"/>
  <c r="D92" i="14" s="1"/>
  <c r="F26" i="13"/>
  <c r="F26" i="14" s="1"/>
  <c r="S25" i="14"/>
  <c r="Q25" i="14"/>
  <c r="C60" i="8"/>
  <c r="I29" i="8"/>
  <c r="C29" i="8"/>
  <c r="P29" i="8" s="1"/>
  <c r="R29" i="8" s="1"/>
  <c r="E28" i="8"/>
  <c r="Q32" i="8"/>
  <c r="C61" i="8"/>
  <c r="L31" i="8"/>
  <c r="B58" i="8"/>
  <c r="F68" i="12" l="1"/>
  <c r="F33" i="12"/>
  <c r="N68" i="12"/>
  <c r="N33" i="12"/>
  <c r="O68" i="12"/>
  <c r="G68" i="12"/>
  <c r="O33" i="12"/>
  <c r="G33" i="12"/>
  <c r="L32" i="12"/>
  <c r="D67" i="12"/>
  <c r="L67" i="12"/>
  <c r="D32" i="12"/>
  <c r="E33" i="12"/>
  <c r="M68" i="12"/>
  <c r="M33" i="12"/>
  <c r="E68" i="12"/>
  <c r="J23" i="20"/>
  <c r="Z29" i="1"/>
  <c r="AB28" i="1"/>
  <c r="H24" i="20"/>
  <c r="I24" i="21" s="1"/>
  <c r="G58" i="8"/>
  <c r="I58" i="8" s="1"/>
  <c r="I27" i="20"/>
  <c r="J27" i="21" s="1"/>
  <c r="H61" i="8"/>
  <c r="I26" i="20"/>
  <c r="J26" i="21" s="1"/>
  <c r="H60" i="8"/>
  <c r="U31" i="10"/>
  <c r="N65" i="6"/>
  <c r="N26" i="20" s="1"/>
  <c r="M26" i="20" s="1"/>
  <c r="L26" i="20" s="1"/>
  <c r="Q29" i="10"/>
  <c r="D64" i="10" s="1"/>
  <c r="B64" i="10"/>
  <c r="H64" i="10" s="1"/>
  <c r="J30" i="10"/>
  <c r="L30" i="10" s="1"/>
  <c r="O30" i="10"/>
  <c r="K33" i="10"/>
  <c r="P33" i="10"/>
  <c r="C68" i="10" s="1"/>
  <c r="AA29" i="1"/>
  <c r="D108" i="6"/>
  <c r="P108" i="6" s="1"/>
  <c r="P66" i="6"/>
  <c r="E67" i="6"/>
  <c r="Q26" i="6"/>
  <c r="J27" i="6"/>
  <c r="J68" i="6" s="1"/>
  <c r="J110" i="6" s="1"/>
  <c r="T31" i="1"/>
  <c r="S31" i="1"/>
  <c r="U31" i="1"/>
  <c r="V31" i="1"/>
  <c r="H28" i="6" s="1"/>
  <c r="E108" i="6"/>
  <c r="Q108" i="6" s="1"/>
  <c r="Q66" i="6"/>
  <c r="B107" i="6"/>
  <c r="N107" i="6" s="1"/>
  <c r="P107" i="6"/>
  <c r="I27" i="6"/>
  <c r="I68" i="6" s="1"/>
  <c r="C67" i="6"/>
  <c r="O26" i="6"/>
  <c r="K27" i="6"/>
  <c r="K68" i="6" s="1"/>
  <c r="K110" i="6" s="1"/>
  <c r="Y29" i="1"/>
  <c r="O30" i="1"/>
  <c r="E27" i="6" s="1"/>
  <c r="M30" i="1"/>
  <c r="C27" i="6" s="1"/>
  <c r="N30" i="1"/>
  <c r="D27" i="6" s="1"/>
  <c r="P30" i="1"/>
  <c r="B27" i="6" s="1"/>
  <c r="N27" i="6" s="1"/>
  <c r="C108" i="6"/>
  <c r="O66" i="6"/>
  <c r="B66" i="6"/>
  <c r="N66" i="6" s="1"/>
  <c r="N27" i="20" s="1"/>
  <c r="M27" i="20" s="1"/>
  <c r="L27" i="20" s="1"/>
  <c r="H67" i="6"/>
  <c r="I109" i="6"/>
  <c r="H109" i="6" s="1"/>
  <c r="D67" i="6"/>
  <c r="P26" i="6"/>
  <c r="O107" i="6"/>
  <c r="H27" i="21"/>
  <c r="H26" i="21"/>
  <c r="K29" i="8"/>
  <c r="M29" i="8" s="1"/>
  <c r="C66" i="24"/>
  <c r="D67" i="24"/>
  <c r="D68" i="24" s="1"/>
  <c r="D69" i="24" s="1"/>
  <c r="D70" i="24" s="1"/>
  <c r="D71" i="24" s="1"/>
  <c r="F67" i="24"/>
  <c r="F68" i="24" s="1"/>
  <c r="F69" i="24" s="1"/>
  <c r="F70" i="24" s="1"/>
  <c r="F71" i="24" s="1"/>
  <c r="F104" i="24"/>
  <c r="E105" i="24"/>
  <c r="E67" i="24"/>
  <c r="E68" i="24" s="1"/>
  <c r="E69" i="24" s="1"/>
  <c r="E70" i="24" s="1"/>
  <c r="E71" i="24" s="1"/>
  <c r="D105" i="24"/>
  <c r="C105" i="24"/>
  <c r="F27" i="21"/>
  <c r="P25" i="14"/>
  <c r="I67" i="10"/>
  <c r="F32" i="20"/>
  <c r="G32" i="21" s="1"/>
  <c r="E28" i="20"/>
  <c r="Q26" i="14"/>
  <c r="B26" i="14"/>
  <c r="C92" i="14"/>
  <c r="Q92" i="14" s="1"/>
  <c r="S92" i="14"/>
  <c r="Z92" i="14" s="1"/>
  <c r="K67" i="12"/>
  <c r="I66" i="13"/>
  <c r="T35" i="10"/>
  <c r="M93" i="14"/>
  <c r="B28" i="13"/>
  <c r="C28" i="12"/>
  <c r="D30" i="10"/>
  <c r="B31" i="10"/>
  <c r="I92" i="14"/>
  <c r="X90" i="14"/>
  <c r="W90" i="14" s="1"/>
  <c r="L26" i="21" s="1"/>
  <c r="P90" i="14"/>
  <c r="K26" i="20" s="1"/>
  <c r="T26" i="14"/>
  <c r="F92" i="14"/>
  <c r="T92" i="14" s="1"/>
  <c r="AA92" i="14" s="1"/>
  <c r="J65" i="13"/>
  <c r="J64" i="14" s="1"/>
  <c r="L65" i="13"/>
  <c r="L64" i="14" s="1"/>
  <c r="K65" i="13"/>
  <c r="K64" i="14" s="1"/>
  <c r="M65" i="13"/>
  <c r="M64" i="14" s="1"/>
  <c r="K93" i="14"/>
  <c r="D27" i="13"/>
  <c r="D27" i="14" s="1"/>
  <c r="D93" i="14" s="1"/>
  <c r="E27" i="13"/>
  <c r="E27" i="14" s="1"/>
  <c r="E93" i="14" s="1"/>
  <c r="C27" i="13"/>
  <c r="C27" i="14" s="1"/>
  <c r="F27" i="13"/>
  <c r="F27" i="14" s="1"/>
  <c r="T27" i="14" s="1"/>
  <c r="I63" i="14"/>
  <c r="K28" i="13"/>
  <c r="K28" i="14" s="1"/>
  <c r="L28" i="13"/>
  <c r="L28" i="14" s="1"/>
  <c r="M28" i="13"/>
  <c r="M28" i="14" s="1"/>
  <c r="M94" i="14" s="1"/>
  <c r="J28" i="13"/>
  <c r="J28" i="14" s="1"/>
  <c r="R92" i="14"/>
  <c r="Y92" i="14" s="1"/>
  <c r="B91" i="14"/>
  <c r="R26" i="14"/>
  <c r="L93" i="14"/>
  <c r="C66" i="12"/>
  <c r="B65" i="13"/>
  <c r="R62" i="14"/>
  <c r="P62" i="14" s="1"/>
  <c r="S26" i="14"/>
  <c r="Q91" i="14"/>
  <c r="I27" i="14"/>
  <c r="J93" i="14"/>
  <c r="B62" i="14"/>
  <c r="J64" i="10"/>
  <c r="E64" i="13"/>
  <c r="E63" i="14" s="1"/>
  <c r="D64" i="13"/>
  <c r="D63" i="14" s="1"/>
  <c r="R63" i="14" s="1"/>
  <c r="C64" i="13"/>
  <c r="C63" i="14" s="1"/>
  <c r="Q63" i="14" s="1"/>
  <c r="F64" i="13"/>
  <c r="F63" i="14" s="1"/>
  <c r="T63" i="14" s="1"/>
  <c r="I29" i="13"/>
  <c r="F32" i="10"/>
  <c r="S32" i="10" s="1"/>
  <c r="H31" i="10"/>
  <c r="K29" i="12"/>
  <c r="D58" i="8"/>
  <c r="Q33" i="8"/>
  <c r="B59" i="8"/>
  <c r="I30" i="8"/>
  <c r="C62" i="8"/>
  <c r="L32" i="8"/>
  <c r="E29" i="8"/>
  <c r="C30" i="8"/>
  <c r="P30" i="8" s="1"/>
  <c r="R30" i="8" s="1"/>
  <c r="L68" i="12" l="1"/>
  <c r="L33" i="12"/>
  <c r="D68" i="12"/>
  <c r="D33" i="12"/>
  <c r="O69" i="12"/>
  <c r="G34" i="12"/>
  <c r="O34" i="12"/>
  <c r="G69" i="12"/>
  <c r="M34" i="12"/>
  <c r="E69" i="12"/>
  <c r="E34" i="12"/>
  <c r="M69" i="12"/>
  <c r="N69" i="12"/>
  <c r="F69" i="12"/>
  <c r="F34" i="12"/>
  <c r="N34" i="12"/>
  <c r="J24" i="20"/>
  <c r="K23" i="21"/>
  <c r="P23" i="20"/>
  <c r="AB29" i="1"/>
  <c r="H25" i="20"/>
  <c r="J25" i="20" s="1"/>
  <c r="G59" i="8"/>
  <c r="I59" i="8" s="1"/>
  <c r="I28" i="20"/>
  <c r="J28" i="21" s="1"/>
  <c r="H62" i="8"/>
  <c r="U32" i="10"/>
  <c r="K34" i="10"/>
  <c r="P34" i="10"/>
  <c r="C69" i="10" s="1"/>
  <c r="Z30" i="1"/>
  <c r="J31" i="10"/>
  <c r="L31" i="10" s="1"/>
  <c r="O31" i="10"/>
  <c r="Q30" i="10"/>
  <c r="D65" i="10" s="1"/>
  <c r="J65" i="10" s="1"/>
  <c r="B65" i="10"/>
  <c r="H65" i="10" s="1"/>
  <c r="C68" i="6"/>
  <c r="O27" i="6"/>
  <c r="Q27" i="6"/>
  <c r="E68" i="6"/>
  <c r="AA30" i="1"/>
  <c r="V32" i="1"/>
  <c r="H29" i="6" s="1"/>
  <c r="S32" i="1"/>
  <c r="T32" i="1"/>
  <c r="U32" i="1"/>
  <c r="J28" i="6"/>
  <c r="J69" i="6" s="1"/>
  <c r="J111" i="6" s="1"/>
  <c r="O31" i="1"/>
  <c r="E28" i="6" s="1"/>
  <c r="P31" i="1"/>
  <c r="B28" i="6" s="1"/>
  <c r="N28" i="6" s="1"/>
  <c r="M31" i="1"/>
  <c r="C28" i="6" s="1"/>
  <c r="N31" i="1"/>
  <c r="D28" i="6" s="1"/>
  <c r="B108" i="6"/>
  <c r="N108" i="6" s="1"/>
  <c r="O108" i="6"/>
  <c r="E109" i="6"/>
  <c r="Q109" i="6" s="1"/>
  <c r="Q67" i="6"/>
  <c r="C109" i="6"/>
  <c r="B67" i="6"/>
  <c r="N67" i="6" s="1"/>
  <c r="N28" i="20" s="1"/>
  <c r="O67" i="6"/>
  <c r="K28" i="6"/>
  <c r="K69" i="6" s="1"/>
  <c r="K111" i="6" s="1"/>
  <c r="I110" i="6"/>
  <c r="H110" i="6" s="1"/>
  <c r="H68" i="6"/>
  <c r="D109" i="6"/>
  <c r="P109" i="6" s="1"/>
  <c r="P67" i="6"/>
  <c r="P27" i="6"/>
  <c r="D68" i="6"/>
  <c r="Y30" i="1"/>
  <c r="I28" i="6"/>
  <c r="I69" i="6" s="1"/>
  <c r="K30" i="8"/>
  <c r="M30" i="8" s="1"/>
  <c r="C67" i="24"/>
  <c r="C68" i="24" s="1"/>
  <c r="C69" i="24" s="1"/>
  <c r="C70" i="24" s="1"/>
  <c r="C71" i="24" s="1"/>
  <c r="E106" i="24"/>
  <c r="C106" i="24"/>
  <c r="D106" i="24"/>
  <c r="F105" i="24"/>
  <c r="E29" i="20"/>
  <c r="G29" i="20" s="1"/>
  <c r="B60" i="8"/>
  <c r="R27" i="14"/>
  <c r="S27" i="14"/>
  <c r="L29" i="13"/>
  <c r="L29" i="14" s="1"/>
  <c r="L95" i="14" s="1"/>
  <c r="K29" i="13"/>
  <c r="K29" i="14" s="1"/>
  <c r="K95" i="14" s="1"/>
  <c r="J29" i="13"/>
  <c r="J29" i="14" s="1"/>
  <c r="M29" i="13"/>
  <c r="M29" i="14" s="1"/>
  <c r="B66" i="13"/>
  <c r="C67" i="12"/>
  <c r="K94" i="14"/>
  <c r="Q27" i="14"/>
  <c r="C93" i="14"/>
  <c r="I64" i="14"/>
  <c r="X91" i="14"/>
  <c r="W91" i="14" s="1"/>
  <c r="L27" i="21" s="1"/>
  <c r="P91" i="14"/>
  <c r="K27" i="20" s="1"/>
  <c r="C65" i="13"/>
  <c r="C64" i="14" s="1"/>
  <c r="F65" i="13"/>
  <c r="F64" i="14" s="1"/>
  <c r="T64" i="14" s="1"/>
  <c r="D65" i="13"/>
  <c r="D64" i="14" s="1"/>
  <c r="R64" i="14" s="1"/>
  <c r="E65" i="13"/>
  <c r="E64" i="14" s="1"/>
  <c r="S63" i="14"/>
  <c r="P63" i="14" s="1"/>
  <c r="F33" i="20"/>
  <c r="G33" i="21" s="1"/>
  <c r="I68" i="10"/>
  <c r="I28" i="14"/>
  <c r="J94" i="14"/>
  <c r="P26" i="14"/>
  <c r="E28" i="13"/>
  <c r="E28" i="14" s="1"/>
  <c r="E94" i="14" s="1"/>
  <c r="D28" i="13"/>
  <c r="D28" i="14" s="1"/>
  <c r="C28" i="13"/>
  <c r="C28" i="14" s="1"/>
  <c r="C94" i="14" s="1"/>
  <c r="F28" i="13"/>
  <c r="F28" i="14" s="1"/>
  <c r="K68" i="12"/>
  <c r="T36" i="10"/>
  <c r="I67" i="13"/>
  <c r="I30" i="13"/>
  <c r="K30" i="12"/>
  <c r="S33" i="10"/>
  <c r="H32" i="10"/>
  <c r="B63" i="14"/>
  <c r="I93" i="14"/>
  <c r="S93" i="14"/>
  <c r="Z93" i="14" s="1"/>
  <c r="L94" i="14"/>
  <c r="B27" i="14"/>
  <c r="F93" i="14"/>
  <c r="T93" i="14" s="1"/>
  <c r="AA93" i="14" s="1"/>
  <c r="R93" i="14"/>
  <c r="Y93" i="14" s="1"/>
  <c r="X92" i="14"/>
  <c r="W92" i="14" s="1"/>
  <c r="L28" i="21" s="1"/>
  <c r="P92" i="14"/>
  <c r="K28" i="20" s="1"/>
  <c r="D31" i="10"/>
  <c r="B29" i="13"/>
  <c r="C29" i="12"/>
  <c r="B32" i="10"/>
  <c r="J66" i="13"/>
  <c r="J65" i="14" s="1"/>
  <c r="M66" i="13"/>
  <c r="M65" i="14" s="1"/>
  <c r="L66" i="13"/>
  <c r="L65" i="14" s="1"/>
  <c r="K66" i="13"/>
  <c r="K65" i="14" s="1"/>
  <c r="B92" i="14"/>
  <c r="G28" i="20"/>
  <c r="F28" i="21"/>
  <c r="L33" i="8"/>
  <c r="C63" i="8"/>
  <c r="I31" i="8"/>
  <c r="D59" i="8"/>
  <c r="C31" i="8"/>
  <c r="P31" i="8" s="1"/>
  <c r="R31" i="8" s="1"/>
  <c r="E30" i="8"/>
  <c r="Q34" i="8"/>
  <c r="L34" i="12" l="1"/>
  <c r="L69" i="12"/>
  <c r="D69" i="12"/>
  <c r="D34" i="12"/>
  <c r="K25" i="21"/>
  <c r="P25" i="20"/>
  <c r="M28" i="20"/>
  <c r="L28" i="20" s="1"/>
  <c r="I25" i="21"/>
  <c r="K24" i="21"/>
  <c r="P24" i="20"/>
  <c r="H26" i="20"/>
  <c r="J26" i="20" s="1"/>
  <c r="G60" i="8"/>
  <c r="I60" i="8" s="1"/>
  <c r="I29" i="20"/>
  <c r="J29" i="21" s="1"/>
  <c r="H63" i="8"/>
  <c r="K35" i="10"/>
  <c r="P35" i="10"/>
  <c r="C70" i="10" s="1"/>
  <c r="J32" i="10"/>
  <c r="L32" i="10" s="1"/>
  <c r="O32" i="10"/>
  <c r="U33" i="10"/>
  <c r="AA31" i="1"/>
  <c r="AB30" i="1"/>
  <c r="Q31" i="10"/>
  <c r="D66" i="10" s="1"/>
  <c r="J66" i="10" s="1"/>
  <c r="B66" i="10"/>
  <c r="H66" i="10" s="1"/>
  <c r="I29" i="6"/>
  <c r="I70" i="6" s="1"/>
  <c r="O28" i="6"/>
  <c r="C69" i="6"/>
  <c r="D110" i="6"/>
  <c r="P110" i="6" s="1"/>
  <c r="P68" i="6"/>
  <c r="B109" i="6"/>
  <c r="N109" i="6" s="1"/>
  <c r="O109" i="6"/>
  <c r="E69" i="6"/>
  <c r="Q28" i="6"/>
  <c r="Q68" i="6"/>
  <c r="E110" i="6"/>
  <c r="Q110" i="6" s="1"/>
  <c r="T33" i="1"/>
  <c r="U33" i="1"/>
  <c r="V33" i="1"/>
  <c r="H30" i="6" s="1"/>
  <c r="S33" i="1"/>
  <c r="Z31" i="1"/>
  <c r="J29" i="6"/>
  <c r="J70" i="6" s="1"/>
  <c r="J112" i="6" s="1"/>
  <c r="N32" i="1"/>
  <c r="D29" i="6" s="1"/>
  <c r="O32" i="1"/>
  <c r="E29" i="6" s="1"/>
  <c r="M32" i="1"/>
  <c r="C29" i="6" s="1"/>
  <c r="P32" i="1"/>
  <c r="B29" i="6" s="1"/>
  <c r="N29" i="6" s="1"/>
  <c r="Y31" i="1"/>
  <c r="P28" i="6"/>
  <c r="D69" i="6"/>
  <c r="I111" i="6"/>
  <c r="H111" i="6" s="1"/>
  <c r="H69" i="6"/>
  <c r="K29" i="6"/>
  <c r="K70" i="6" s="1"/>
  <c r="K112" i="6" s="1"/>
  <c r="O68" i="6"/>
  <c r="C110" i="6"/>
  <c r="B68" i="6"/>
  <c r="N68" i="6" s="1"/>
  <c r="N29" i="20" s="1"/>
  <c r="M29" i="20" s="1"/>
  <c r="L29" i="20" s="1"/>
  <c r="H28" i="21"/>
  <c r="H29" i="21"/>
  <c r="K31" i="8"/>
  <c r="M31" i="8" s="1"/>
  <c r="D60" i="8"/>
  <c r="D107" i="24"/>
  <c r="F106" i="24"/>
  <c r="C107" i="24"/>
  <c r="E107" i="24"/>
  <c r="F29" i="21"/>
  <c r="E30" i="20"/>
  <c r="G30" i="20" s="1"/>
  <c r="B61" i="8"/>
  <c r="P27" i="14"/>
  <c r="L30" i="13"/>
  <c r="L30" i="14" s="1"/>
  <c r="J30" i="13"/>
  <c r="J30" i="14" s="1"/>
  <c r="M30" i="13"/>
  <c r="M30" i="14" s="1"/>
  <c r="M96" i="14" s="1"/>
  <c r="K30" i="13"/>
  <c r="K30" i="14" s="1"/>
  <c r="B28" i="14"/>
  <c r="D94" i="14"/>
  <c r="R94" i="14" s="1"/>
  <c r="Y94" i="14" s="1"/>
  <c r="Q94" i="14"/>
  <c r="I94" i="14"/>
  <c r="B93" i="14"/>
  <c r="M95" i="14"/>
  <c r="D29" i="13"/>
  <c r="D29" i="14" s="1"/>
  <c r="C29" i="13"/>
  <c r="C29" i="14" s="1"/>
  <c r="C95" i="14" s="1"/>
  <c r="F29" i="13"/>
  <c r="F29" i="14" s="1"/>
  <c r="T29" i="14" s="1"/>
  <c r="E29" i="13"/>
  <c r="E29" i="14" s="1"/>
  <c r="Q93" i="14"/>
  <c r="B64" i="14"/>
  <c r="B67" i="13"/>
  <c r="C68" i="12"/>
  <c r="I29" i="14"/>
  <c r="J95" i="14"/>
  <c r="I65" i="14"/>
  <c r="S94" i="14"/>
  <c r="Z94" i="14" s="1"/>
  <c r="H33" i="10"/>
  <c r="I31" i="13"/>
  <c r="S34" i="10"/>
  <c r="K31" i="12"/>
  <c r="K67" i="13"/>
  <c r="K66" i="14" s="1"/>
  <c r="M67" i="13"/>
  <c r="M66" i="14" s="1"/>
  <c r="J67" i="13"/>
  <c r="J66" i="14" s="1"/>
  <c r="L67" i="13"/>
  <c r="L66" i="14" s="1"/>
  <c r="T28" i="14"/>
  <c r="F94" i="14"/>
  <c r="T94" i="14" s="1"/>
  <c r="AA94" i="14" s="1"/>
  <c r="I69" i="10"/>
  <c r="F34" i="20"/>
  <c r="G34" i="21" s="1"/>
  <c r="Q28" i="14"/>
  <c r="S64" i="14"/>
  <c r="Q64" i="14"/>
  <c r="C66" i="13"/>
  <c r="C65" i="14" s="1"/>
  <c r="Q65" i="14" s="1"/>
  <c r="E66" i="13"/>
  <c r="E65" i="14" s="1"/>
  <c r="D66" i="13"/>
  <c r="D65" i="14" s="1"/>
  <c r="F66" i="13"/>
  <c r="F65" i="14" s="1"/>
  <c r="C30" i="12"/>
  <c r="B30" i="13"/>
  <c r="D32" i="10"/>
  <c r="S28" i="14"/>
  <c r="I68" i="13"/>
  <c r="K69" i="12"/>
  <c r="R28" i="14"/>
  <c r="E31" i="8"/>
  <c r="P32" i="8"/>
  <c r="R32" i="8" s="1"/>
  <c r="I32" i="8"/>
  <c r="C64" i="8"/>
  <c r="L34" i="8"/>
  <c r="Q35" i="8"/>
  <c r="I26" i="21" l="1"/>
  <c r="AA32" i="1"/>
  <c r="K26" i="21"/>
  <c r="P26" i="20"/>
  <c r="I30" i="20"/>
  <c r="J30" i="21" s="1"/>
  <c r="H64" i="8"/>
  <c r="H27" i="20"/>
  <c r="J27" i="20" s="1"/>
  <c r="G61" i="8"/>
  <c r="I61" i="8" s="1"/>
  <c r="Q32" i="10"/>
  <c r="D67" i="10" s="1"/>
  <c r="J67" i="10" s="1"/>
  <c r="B67" i="10"/>
  <c r="H67" i="10" s="1"/>
  <c r="J33" i="10"/>
  <c r="L33" i="10" s="1"/>
  <c r="O33" i="10"/>
  <c r="AB31" i="1"/>
  <c r="U34" i="10"/>
  <c r="K36" i="10"/>
  <c r="P36" i="10"/>
  <c r="C71" i="10" s="1"/>
  <c r="I30" i="6"/>
  <c r="I71" i="6" s="1"/>
  <c r="O29" i="6"/>
  <c r="C70" i="6"/>
  <c r="K30" i="6"/>
  <c r="K71" i="6" s="1"/>
  <c r="K113" i="6" s="1"/>
  <c r="U34" i="1"/>
  <c r="V34" i="1"/>
  <c r="H31" i="6" s="1"/>
  <c r="S34" i="1"/>
  <c r="T34" i="1"/>
  <c r="Q29" i="6"/>
  <c r="E70" i="6"/>
  <c r="J30" i="6"/>
  <c r="J71" i="6" s="1"/>
  <c r="J113" i="6" s="1"/>
  <c r="D70" i="6"/>
  <c r="P29" i="6"/>
  <c r="B69" i="6"/>
  <c r="N69" i="6" s="1"/>
  <c r="N30" i="20" s="1"/>
  <c r="M30" i="20" s="1"/>
  <c r="L30" i="20" s="1"/>
  <c r="C111" i="6"/>
  <c r="O69" i="6"/>
  <c r="Z32" i="1"/>
  <c r="P69" i="6"/>
  <c r="D111" i="6"/>
  <c r="P111" i="6" s="1"/>
  <c r="Y32" i="1"/>
  <c r="O110" i="6"/>
  <c r="B110" i="6"/>
  <c r="N110" i="6" s="1"/>
  <c r="P33" i="1"/>
  <c r="B30" i="6" s="1"/>
  <c r="N30" i="6" s="1"/>
  <c r="M33" i="1"/>
  <c r="C30" i="6" s="1"/>
  <c r="N33" i="1"/>
  <c r="D30" i="6" s="1"/>
  <c r="O33" i="1"/>
  <c r="E30" i="6" s="1"/>
  <c r="E111" i="6"/>
  <c r="Q111" i="6" s="1"/>
  <c r="Q69" i="6"/>
  <c r="I112" i="6"/>
  <c r="H112" i="6" s="1"/>
  <c r="H70" i="6"/>
  <c r="H30" i="21"/>
  <c r="K32" i="8"/>
  <c r="M32" i="8" s="1"/>
  <c r="F107" i="24"/>
  <c r="D108" i="24"/>
  <c r="C108" i="24"/>
  <c r="E108" i="24"/>
  <c r="F30" i="21"/>
  <c r="D61" i="8"/>
  <c r="B94" i="14"/>
  <c r="E31" i="20"/>
  <c r="K96" i="14"/>
  <c r="J68" i="13"/>
  <c r="J67" i="14" s="1"/>
  <c r="M68" i="13"/>
  <c r="M67" i="14" s="1"/>
  <c r="K68" i="13"/>
  <c r="K67" i="14" s="1"/>
  <c r="L68" i="13"/>
  <c r="L67" i="14" s="1"/>
  <c r="B65" i="14"/>
  <c r="I66" i="14"/>
  <c r="K32" i="12"/>
  <c r="S35" i="10"/>
  <c r="H34" i="10"/>
  <c r="I32" i="13"/>
  <c r="Q95" i="14"/>
  <c r="I95" i="14"/>
  <c r="C69" i="12"/>
  <c r="B68" i="13"/>
  <c r="P93" i="14"/>
  <c r="K29" i="20" s="1"/>
  <c r="X93" i="14"/>
  <c r="W93" i="14" s="1"/>
  <c r="L29" i="21" s="1"/>
  <c r="R29" i="14"/>
  <c r="D95" i="14"/>
  <c r="R95" i="14" s="1"/>
  <c r="S65" i="14"/>
  <c r="D33" i="10"/>
  <c r="B31" i="13"/>
  <c r="C31" i="12"/>
  <c r="T65" i="14"/>
  <c r="M31" i="13"/>
  <c r="M31" i="14" s="1"/>
  <c r="J31" i="13"/>
  <c r="J31" i="14" s="1"/>
  <c r="K31" i="13"/>
  <c r="K31" i="14" s="1"/>
  <c r="K97" i="14" s="1"/>
  <c r="L31" i="13"/>
  <c r="L31" i="14" s="1"/>
  <c r="C67" i="13"/>
  <c r="C66" i="14" s="1"/>
  <c r="Q66" i="14" s="1"/>
  <c r="E67" i="13"/>
  <c r="E66" i="14" s="1"/>
  <c r="F67" i="13"/>
  <c r="F66" i="14" s="1"/>
  <c r="T66" i="14" s="1"/>
  <c r="D67" i="13"/>
  <c r="D66" i="14" s="1"/>
  <c r="R66" i="14" s="1"/>
  <c r="F35" i="20"/>
  <c r="G35" i="21" s="1"/>
  <c r="I70" i="10"/>
  <c r="S29" i="14"/>
  <c r="E95" i="14"/>
  <c r="S95" i="14" s="1"/>
  <c r="I30" i="14"/>
  <c r="J96" i="14"/>
  <c r="E30" i="13"/>
  <c r="E30" i="14" s="1"/>
  <c r="E96" i="14" s="1"/>
  <c r="D30" i="13"/>
  <c r="D30" i="14" s="1"/>
  <c r="D96" i="14" s="1"/>
  <c r="C30" i="13"/>
  <c r="C30" i="14" s="1"/>
  <c r="F30" i="13"/>
  <c r="F30" i="14" s="1"/>
  <c r="P64" i="14"/>
  <c r="P28" i="14"/>
  <c r="Q29" i="14"/>
  <c r="B29" i="14"/>
  <c r="F95" i="14"/>
  <c r="T95" i="14" s="1"/>
  <c r="P94" i="14"/>
  <c r="K30" i="20" s="1"/>
  <c r="X94" i="14"/>
  <c r="W94" i="14" s="1"/>
  <c r="L30" i="21" s="1"/>
  <c r="L96" i="14"/>
  <c r="R65" i="14"/>
  <c r="B62" i="8"/>
  <c r="C65" i="8"/>
  <c r="L35" i="8"/>
  <c r="I33" i="8"/>
  <c r="P33" i="8"/>
  <c r="R33" i="8" s="1"/>
  <c r="E32" i="8"/>
  <c r="I27" i="21" l="1"/>
  <c r="K27" i="21"/>
  <c r="P27" i="20"/>
  <c r="E32" i="20"/>
  <c r="AB32" i="1"/>
  <c r="Z33" i="1"/>
  <c r="I31" i="20"/>
  <c r="J31" i="21" s="1"/>
  <c r="H65" i="8"/>
  <c r="H28" i="20"/>
  <c r="J28" i="20" s="1"/>
  <c r="G62" i="8"/>
  <c r="I62" i="8" s="1"/>
  <c r="U35" i="10"/>
  <c r="Q33" i="10"/>
  <c r="D68" i="10" s="1"/>
  <c r="B68" i="10"/>
  <c r="H68" i="10" s="1"/>
  <c r="J34" i="10"/>
  <c r="L34" i="10" s="1"/>
  <c r="O34" i="10"/>
  <c r="T35" i="1"/>
  <c r="U35" i="1"/>
  <c r="S35" i="1"/>
  <c r="V35" i="1"/>
  <c r="H32" i="6" s="1"/>
  <c r="AA33" i="1"/>
  <c r="Q30" i="6"/>
  <c r="E71" i="6"/>
  <c r="D71" i="6"/>
  <c r="P30" i="6"/>
  <c r="E112" i="6"/>
  <c r="Q112" i="6" s="1"/>
  <c r="Q70" i="6"/>
  <c r="C112" i="6"/>
  <c r="O70" i="6"/>
  <c r="B70" i="6"/>
  <c r="N70" i="6" s="1"/>
  <c r="N31" i="20" s="1"/>
  <c r="M31" i="20" s="1"/>
  <c r="L31" i="20" s="1"/>
  <c r="Y95" i="14"/>
  <c r="K31" i="6"/>
  <c r="K72" i="6" s="1"/>
  <c r="K114" i="6" s="1"/>
  <c r="C71" i="6"/>
  <c r="O30" i="6"/>
  <c r="D112" i="6"/>
  <c r="P112" i="6" s="1"/>
  <c r="P70" i="6"/>
  <c r="AA95" i="14"/>
  <c r="O34" i="1"/>
  <c r="E31" i="6" s="1"/>
  <c r="M34" i="1"/>
  <c r="C31" i="6" s="1"/>
  <c r="N34" i="1"/>
  <c r="D31" i="6" s="1"/>
  <c r="P34" i="1"/>
  <c r="B31" i="6" s="1"/>
  <c r="N31" i="6" s="1"/>
  <c r="O111" i="6"/>
  <c r="B111" i="6"/>
  <c r="N111" i="6" s="1"/>
  <c r="J31" i="6"/>
  <c r="J72" i="6" s="1"/>
  <c r="J114" i="6" s="1"/>
  <c r="Y33" i="1"/>
  <c r="Z95" i="14"/>
  <c r="I31" i="6"/>
  <c r="I72" i="6" s="1"/>
  <c r="I113" i="6"/>
  <c r="H113" i="6" s="1"/>
  <c r="H71" i="6"/>
  <c r="K33" i="8"/>
  <c r="M33" i="8" s="1"/>
  <c r="F108" i="24"/>
  <c r="P29" i="14"/>
  <c r="B63" i="8"/>
  <c r="P65" i="14"/>
  <c r="M97" i="14"/>
  <c r="D68" i="13"/>
  <c r="D67" i="14" s="1"/>
  <c r="C68" i="13"/>
  <c r="C67" i="14" s="1"/>
  <c r="Q67" i="14" s="1"/>
  <c r="F68" i="13"/>
  <c r="F67" i="14" s="1"/>
  <c r="T67" i="14" s="1"/>
  <c r="E68" i="13"/>
  <c r="E67" i="14" s="1"/>
  <c r="R30" i="14"/>
  <c r="I31" i="14"/>
  <c r="L97" i="14"/>
  <c r="K32" i="13"/>
  <c r="K32" i="14" s="1"/>
  <c r="K98" i="14" s="1"/>
  <c r="J32" i="13"/>
  <c r="J32" i="14" s="1"/>
  <c r="L32" i="13"/>
  <c r="L32" i="14" s="1"/>
  <c r="M32" i="13"/>
  <c r="M32" i="14" s="1"/>
  <c r="B95" i="14"/>
  <c r="G31" i="20"/>
  <c r="F31" i="21"/>
  <c r="I71" i="10"/>
  <c r="G32" i="20"/>
  <c r="F32" i="21"/>
  <c r="B66" i="14"/>
  <c r="B32" i="13"/>
  <c r="C32" i="12"/>
  <c r="D34" i="10"/>
  <c r="X95" i="14"/>
  <c r="P95" i="14"/>
  <c r="J68" i="10"/>
  <c r="S30" i="14"/>
  <c r="T30" i="14"/>
  <c r="F96" i="14"/>
  <c r="C31" i="13"/>
  <c r="C31" i="14" s="1"/>
  <c r="E31" i="13"/>
  <c r="E31" i="14" s="1"/>
  <c r="D31" i="13"/>
  <c r="D31" i="14" s="1"/>
  <c r="F31" i="13"/>
  <c r="F31" i="14" s="1"/>
  <c r="F97" i="14" s="1"/>
  <c r="Q30" i="14"/>
  <c r="B30" i="14"/>
  <c r="C96" i="14"/>
  <c r="I96" i="14"/>
  <c r="J97" i="14"/>
  <c r="I33" i="13"/>
  <c r="H35" i="10"/>
  <c r="K33" i="12"/>
  <c r="S36" i="10"/>
  <c r="I67" i="14"/>
  <c r="S66" i="14"/>
  <c r="P66" i="14" s="1"/>
  <c r="P34" i="8"/>
  <c r="R34" i="8" s="1"/>
  <c r="E33" i="8"/>
  <c r="C66" i="8"/>
  <c r="I34" i="8"/>
  <c r="D62" i="8"/>
  <c r="I28" i="21" l="1"/>
  <c r="G36" i="21"/>
  <c r="F36" i="20"/>
  <c r="AA34" i="1"/>
  <c r="K28" i="21"/>
  <c r="P28" i="20"/>
  <c r="I32" i="20"/>
  <c r="J32" i="21" s="1"/>
  <c r="H66" i="8"/>
  <c r="H29" i="20"/>
  <c r="G63" i="8"/>
  <c r="I63" i="8" s="1"/>
  <c r="I29" i="21"/>
  <c r="J29" i="20"/>
  <c r="Q34" i="10"/>
  <c r="D69" i="10" s="1"/>
  <c r="J69" i="10" s="1"/>
  <c r="B69" i="10"/>
  <c r="H69" i="10" s="1"/>
  <c r="Z34" i="1"/>
  <c r="J35" i="10"/>
  <c r="L35" i="10" s="1"/>
  <c r="O35" i="10"/>
  <c r="U36" i="10"/>
  <c r="Y34" i="1"/>
  <c r="D113" i="6"/>
  <c r="P113" i="6" s="1"/>
  <c r="P71" i="6"/>
  <c r="B71" i="6"/>
  <c r="N71" i="6" s="1"/>
  <c r="N32" i="20" s="1"/>
  <c r="M32" i="20" s="1"/>
  <c r="L32" i="20" s="1"/>
  <c r="Q71" i="6"/>
  <c r="E113" i="6"/>
  <c r="Q113" i="6" s="1"/>
  <c r="I114" i="6"/>
  <c r="H114" i="6" s="1"/>
  <c r="H72" i="6"/>
  <c r="O112" i="6"/>
  <c r="B112" i="6"/>
  <c r="N112" i="6" s="1"/>
  <c r="P35" i="1"/>
  <c r="B32" i="6" s="1"/>
  <c r="N32" i="6" s="1"/>
  <c r="N35" i="1"/>
  <c r="D32" i="6" s="1"/>
  <c r="M35" i="1"/>
  <c r="C32" i="6" s="1"/>
  <c r="O35" i="1"/>
  <c r="E32" i="6" s="1"/>
  <c r="P31" i="6"/>
  <c r="D72" i="6"/>
  <c r="C113" i="6"/>
  <c r="O71" i="6"/>
  <c r="I32" i="6"/>
  <c r="I73" i="6" s="1"/>
  <c r="K31" i="20"/>
  <c r="W95" i="14"/>
  <c r="L31" i="21" s="1"/>
  <c r="O31" i="6"/>
  <c r="C72" i="6"/>
  <c r="K32" i="6"/>
  <c r="K73" i="6" s="1"/>
  <c r="K115" i="6" s="1"/>
  <c r="S36" i="1"/>
  <c r="U36" i="1"/>
  <c r="T36" i="1"/>
  <c r="V36" i="1"/>
  <c r="H33" i="6" s="1"/>
  <c r="AB33" i="1"/>
  <c r="Q31" i="6"/>
  <c r="E72" i="6"/>
  <c r="J32" i="6"/>
  <c r="J73" i="6" s="1"/>
  <c r="J115" i="6" s="1"/>
  <c r="H31" i="21"/>
  <c r="H32" i="21"/>
  <c r="K34" i="8"/>
  <c r="M34" i="8" s="1"/>
  <c r="D63" i="8"/>
  <c r="B64" i="8"/>
  <c r="T97" i="14"/>
  <c r="AA97" i="14" s="1"/>
  <c r="J33" i="13"/>
  <c r="J33" i="14" s="1"/>
  <c r="M33" i="13"/>
  <c r="M33" i="14" s="1"/>
  <c r="M99" i="14" s="1"/>
  <c r="K33" i="13"/>
  <c r="K33" i="14" s="1"/>
  <c r="K99" i="14" s="1"/>
  <c r="L33" i="13"/>
  <c r="L33" i="14" s="1"/>
  <c r="L99" i="14" s="1"/>
  <c r="S31" i="14"/>
  <c r="E97" i="14"/>
  <c r="S97" i="14" s="1"/>
  <c r="Z97" i="14" s="1"/>
  <c r="D35" i="10"/>
  <c r="B33" i="13"/>
  <c r="C33" i="12"/>
  <c r="I32" i="14"/>
  <c r="J98" i="14"/>
  <c r="P30" i="14"/>
  <c r="H36" i="10"/>
  <c r="I34" i="13"/>
  <c r="K34" i="12"/>
  <c r="B31" i="14"/>
  <c r="C97" i="14"/>
  <c r="E32" i="13"/>
  <c r="E32" i="14" s="1"/>
  <c r="E98" i="14" s="1"/>
  <c r="F32" i="13"/>
  <c r="F32" i="14" s="1"/>
  <c r="F98" i="14" s="1"/>
  <c r="C32" i="13"/>
  <c r="C32" i="14" s="1"/>
  <c r="Q32" i="14" s="1"/>
  <c r="D32" i="13"/>
  <c r="D32" i="14" s="1"/>
  <c r="E33" i="20"/>
  <c r="M98" i="14"/>
  <c r="I97" i="14"/>
  <c r="T31" i="14"/>
  <c r="S67" i="14"/>
  <c r="Q31" i="14"/>
  <c r="B96" i="14"/>
  <c r="R31" i="14"/>
  <c r="D97" i="14"/>
  <c r="R97" i="14" s="1"/>
  <c r="Y97" i="14" s="1"/>
  <c r="R67" i="14"/>
  <c r="L98" i="14"/>
  <c r="B67" i="14"/>
  <c r="I35" i="8"/>
  <c r="C67" i="8"/>
  <c r="P35" i="8"/>
  <c r="R35" i="8" s="1"/>
  <c r="E34" i="8"/>
  <c r="AB34" i="1" l="1"/>
  <c r="K29" i="21"/>
  <c r="P29" i="20"/>
  <c r="H30" i="20"/>
  <c r="J30" i="20" s="1"/>
  <c r="G64" i="8"/>
  <c r="I64" i="8" s="1"/>
  <c r="I33" i="20"/>
  <c r="J33" i="21" s="1"/>
  <c r="H67" i="8"/>
  <c r="Q35" i="10"/>
  <c r="D70" i="10" s="1"/>
  <c r="J70" i="10" s="1"/>
  <c r="B70" i="10"/>
  <c r="H70" i="10" s="1"/>
  <c r="Z35" i="1"/>
  <c r="J36" i="10"/>
  <c r="L36" i="10" s="1"/>
  <c r="O36" i="10"/>
  <c r="J33" i="6"/>
  <c r="J74" i="6" s="1"/>
  <c r="J116" i="6" s="1"/>
  <c r="Q32" i="6"/>
  <c r="E73" i="6"/>
  <c r="T37" i="1"/>
  <c r="U37" i="1"/>
  <c r="V37" i="1"/>
  <c r="H34" i="6" s="1"/>
  <c r="S37" i="1"/>
  <c r="P72" i="6"/>
  <c r="D114" i="6"/>
  <c r="P114" i="6" s="1"/>
  <c r="K33" i="6"/>
  <c r="K74" i="6" s="1"/>
  <c r="K116" i="6" s="1"/>
  <c r="O32" i="6"/>
  <c r="C73" i="6"/>
  <c r="I33" i="6"/>
  <c r="I74" i="6" s="1"/>
  <c r="Y35" i="1"/>
  <c r="P32" i="6"/>
  <c r="D73" i="6"/>
  <c r="AA35" i="1"/>
  <c r="E114" i="6"/>
  <c r="Q114" i="6" s="1"/>
  <c r="Q72" i="6"/>
  <c r="H73" i="6"/>
  <c r="I115" i="6"/>
  <c r="H115" i="6" s="1"/>
  <c r="N36" i="1"/>
  <c r="D33" i="6" s="1"/>
  <c r="O36" i="1"/>
  <c r="E33" i="6" s="1"/>
  <c r="M36" i="1"/>
  <c r="C33" i="6" s="1"/>
  <c r="P36" i="1"/>
  <c r="B33" i="6" s="1"/>
  <c r="N33" i="6" s="1"/>
  <c r="C114" i="6"/>
  <c r="O72" i="6"/>
  <c r="B72" i="6"/>
  <c r="N72" i="6" s="1"/>
  <c r="N33" i="20" s="1"/>
  <c r="M33" i="20" s="1"/>
  <c r="L33" i="20" s="1"/>
  <c r="O113" i="6"/>
  <c r="B113" i="6"/>
  <c r="N113" i="6" s="1"/>
  <c r="K35" i="8"/>
  <c r="M35" i="8" s="1"/>
  <c r="D64" i="8"/>
  <c r="S32" i="14"/>
  <c r="S98" i="14"/>
  <c r="B97" i="14"/>
  <c r="T98" i="14"/>
  <c r="P67" i="14"/>
  <c r="R32" i="14"/>
  <c r="D98" i="14"/>
  <c r="R98" i="14" s="1"/>
  <c r="D33" i="13"/>
  <c r="D33" i="14" s="1"/>
  <c r="E33" i="13"/>
  <c r="E33" i="14" s="1"/>
  <c r="C33" i="13"/>
  <c r="C33" i="14" s="1"/>
  <c r="F33" i="13"/>
  <c r="F33" i="14" s="1"/>
  <c r="E34" i="20"/>
  <c r="B32" i="14"/>
  <c r="C98" i="14"/>
  <c r="Q98" i="14" s="1"/>
  <c r="Q96" i="14" s="1"/>
  <c r="X96" i="14" s="1"/>
  <c r="L34" i="13"/>
  <c r="L34" i="14" s="1"/>
  <c r="K34" i="13"/>
  <c r="K34" i="14" s="1"/>
  <c r="J34" i="13"/>
  <c r="J34" i="14" s="1"/>
  <c r="M34" i="13"/>
  <c r="M34" i="14" s="1"/>
  <c r="P31" i="14"/>
  <c r="Q97" i="14"/>
  <c r="G33" i="20"/>
  <c r="F33" i="21"/>
  <c r="B34" i="13"/>
  <c r="C34" i="12"/>
  <c r="D36" i="10"/>
  <c r="T32" i="14"/>
  <c r="I98" i="14"/>
  <c r="I33" i="14"/>
  <c r="J99" i="14"/>
  <c r="I99" i="14" s="1"/>
  <c r="B65" i="8"/>
  <c r="C68" i="8"/>
  <c r="E35" i="8"/>
  <c r="K30" i="21" l="1"/>
  <c r="P30" i="20"/>
  <c r="I30" i="21"/>
  <c r="I34" i="20"/>
  <c r="J34" i="21" s="1"/>
  <c r="H68" i="8"/>
  <c r="H31" i="20"/>
  <c r="I31" i="21" s="1"/>
  <c r="G65" i="8"/>
  <c r="I65" i="8" s="1"/>
  <c r="Y36" i="1"/>
  <c r="Q36" i="10"/>
  <c r="D71" i="10" s="1"/>
  <c r="J71" i="10" s="1"/>
  <c r="B71" i="10"/>
  <c r="H71" i="10" s="1"/>
  <c r="AA36" i="1"/>
  <c r="B73" i="6"/>
  <c r="N73" i="6" s="1"/>
  <c r="N34" i="20" s="1"/>
  <c r="M34" i="20" s="1"/>
  <c r="L34" i="20" s="1"/>
  <c r="C115" i="6"/>
  <c r="O73" i="6"/>
  <c r="K34" i="6"/>
  <c r="O114" i="6"/>
  <c r="B114" i="6"/>
  <c r="N114" i="6" s="1"/>
  <c r="J34" i="6"/>
  <c r="Y98" i="14"/>
  <c r="R96" i="14"/>
  <c r="Y96" i="14" s="1"/>
  <c r="AA98" i="14"/>
  <c r="T96" i="14"/>
  <c r="AA96" i="14" s="1"/>
  <c r="O33" i="6"/>
  <c r="C74" i="6"/>
  <c r="D115" i="6"/>
  <c r="P115" i="6" s="1"/>
  <c r="P73" i="6"/>
  <c r="I34" i="6"/>
  <c r="Q73" i="6"/>
  <c r="E115" i="6"/>
  <c r="Q115" i="6" s="1"/>
  <c r="Z98" i="14"/>
  <c r="S96" i="14"/>
  <c r="Z96" i="14" s="1"/>
  <c r="Q33" i="6"/>
  <c r="E74" i="6"/>
  <c r="Z36" i="1"/>
  <c r="I116" i="6"/>
  <c r="H116" i="6" s="1"/>
  <c r="H74" i="6"/>
  <c r="M37" i="1"/>
  <c r="C34" i="6" s="1"/>
  <c r="P37" i="1"/>
  <c r="B34" i="6" s="1"/>
  <c r="O37" i="1"/>
  <c r="E34" i="6" s="1"/>
  <c r="N37" i="1"/>
  <c r="D34" i="6" s="1"/>
  <c r="P33" i="6"/>
  <c r="D74" i="6"/>
  <c r="AB35" i="1"/>
  <c r="E35" i="20"/>
  <c r="F35" i="21" s="1"/>
  <c r="H33" i="21"/>
  <c r="P32" i="14"/>
  <c r="X97" i="14"/>
  <c r="W97" i="14" s="1"/>
  <c r="L33" i="21" s="1"/>
  <c r="P97" i="14"/>
  <c r="K33" i="20" s="1"/>
  <c r="J100" i="14"/>
  <c r="I34" i="14"/>
  <c r="S33" i="14"/>
  <c r="E99" i="14"/>
  <c r="S99" i="14" s="1"/>
  <c r="Z99" i="14" s="1"/>
  <c r="P98" i="14"/>
  <c r="X98" i="14"/>
  <c r="K100" i="14"/>
  <c r="R33" i="14"/>
  <c r="D99" i="14"/>
  <c r="R99" i="14" s="1"/>
  <c r="Y99" i="14" s="1"/>
  <c r="C34" i="13"/>
  <c r="C34" i="14" s="1"/>
  <c r="C100" i="14" s="1"/>
  <c r="D34" i="13"/>
  <c r="D34" i="14" s="1"/>
  <c r="D100" i="14" s="1"/>
  <c r="E34" i="13"/>
  <c r="E34" i="14" s="1"/>
  <c r="E100" i="14" s="1"/>
  <c r="F34" i="13"/>
  <c r="F34" i="14" s="1"/>
  <c r="L100" i="14"/>
  <c r="T33" i="14"/>
  <c r="F99" i="14"/>
  <c r="T99" i="14" s="1"/>
  <c r="AA99" i="14" s="1"/>
  <c r="M100" i="14"/>
  <c r="B98" i="14"/>
  <c r="F34" i="21"/>
  <c r="G34" i="20"/>
  <c r="Q33" i="14"/>
  <c r="B33" i="14"/>
  <c r="C99" i="14"/>
  <c r="Q99" i="14" s="1"/>
  <c r="C69" i="8"/>
  <c r="B66" i="8"/>
  <c r="D65" i="8"/>
  <c r="AB36" i="1" l="1"/>
  <c r="J31" i="20"/>
  <c r="H32" i="20"/>
  <c r="J32" i="20" s="1"/>
  <c r="G66" i="8"/>
  <c r="I66" i="8" s="1"/>
  <c r="I35" i="20"/>
  <c r="J35" i="21" s="1"/>
  <c r="H69" i="8"/>
  <c r="W96" i="14"/>
  <c r="L32" i="21" s="1"/>
  <c r="Q34" i="6"/>
  <c r="E75" i="6"/>
  <c r="E87" i="6"/>
  <c r="O34" i="6"/>
  <c r="C75" i="6"/>
  <c r="C87" i="6"/>
  <c r="AA37" i="1"/>
  <c r="AA38" i="1" s="1"/>
  <c r="J75" i="6"/>
  <c r="J117" i="6" s="1"/>
  <c r="J87" i="6"/>
  <c r="Y37" i="1"/>
  <c r="N34" i="6"/>
  <c r="N41" i="6" s="1"/>
  <c r="B41" i="6"/>
  <c r="D116" i="6"/>
  <c r="P116" i="6" s="1"/>
  <c r="P74" i="6"/>
  <c r="K75" i="6"/>
  <c r="K117" i="6" s="1"/>
  <c r="K87" i="6"/>
  <c r="K34" i="20"/>
  <c r="P96" i="14"/>
  <c r="K32" i="20" s="1"/>
  <c r="I75" i="6"/>
  <c r="I87" i="6"/>
  <c r="O115" i="6"/>
  <c r="B115" i="6"/>
  <c r="N115" i="6" s="1"/>
  <c r="C116" i="6"/>
  <c r="O74" i="6"/>
  <c r="B74" i="6"/>
  <c r="N74" i="6" s="1"/>
  <c r="N35" i="20" s="1"/>
  <c r="M35" i="20" s="1"/>
  <c r="L35" i="20" s="1"/>
  <c r="W98" i="14"/>
  <c r="L34" i="21" s="1"/>
  <c r="D75" i="6"/>
  <c r="P34" i="6"/>
  <c r="D87" i="6"/>
  <c r="Q74" i="6"/>
  <c r="E116" i="6"/>
  <c r="Q116" i="6" s="1"/>
  <c r="Z37" i="1"/>
  <c r="Z38" i="1" s="1"/>
  <c r="G35" i="20"/>
  <c r="H34" i="21"/>
  <c r="R100" i="14"/>
  <c r="Y100" i="14" s="1"/>
  <c r="B67" i="8"/>
  <c r="Q34" i="14"/>
  <c r="S100" i="14"/>
  <c r="Z100" i="14" s="1"/>
  <c r="B34" i="14"/>
  <c r="F100" i="14"/>
  <c r="B100" i="14" s="1"/>
  <c r="S34" i="14"/>
  <c r="I100" i="14"/>
  <c r="Q100" i="14"/>
  <c r="R34" i="14"/>
  <c r="X99" i="14"/>
  <c r="W99" i="14" s="1"/>
  <c r="L35" i="21" s="1"/>
  <c r="P99" i="14"/>
  <c r="K35" i="20" s="1"/>
  <c r="B99" i="14"/>
  <c r="T34" i="14"/>
  <c r="P33" i="14"/>
  <c r="C70" i="8"/>
  <c r="D66" i="8"/>
  <c r="K32" i="21" l="1"/>
  <c r="P32" i="20"/>
  <c r="H35" i="21"/>
  <c r="F36" i="21"/>
  <c r="E36" i="20"/>
  <c r="I32" i="21"/>
  <c r="K31" i="21"/>
  <c r="P31" i="20"/>
  <c r="H70" i="8"/>
  <c r="H33" i="20"/>
  <c r="G67" i="8"/>
  <c r="I67" i="8" s="1"/>
  <c r="I33" i="21"/>
  <c r="J33" i="20"/>
  <c r="O75" i="6"/>
  <c r="C117" i="6"/>
  <c r="B75" i="6"/>
  <c r="O87" i="6"/>
  <c r="O41" i="6"/>
  <c r="O116" i="6"/>
  <c r="B116" i="6"/>
  <c r="N116" i="6" s="1"/>
  <c r="P87" i="6"/>
  <c r="P41" i="6"/>
  <c r="D117" i="6"/>
  <c r="P117" i="6" s="1"/>
  <c r="P75" i="6"/>
  <c r="AB37" i="1"/>
  <c r="Y38" i="1"/>
  <c r="AB38" i="1" s="1"/>
  <c r="Q75" i="6"/>
  <c r="E117" i="6"/>
  <c r="Q117" i="6" s="1"/>
  <c r="I117" i="6"/>
  <c r="H117" i="6" s="1"/>
  <c r="H75" i="6"/>
  <c r="Q87" i="6"/>
  <c r="Q41" i="6"/>
  <c r="D67" i="8"/>
  <c r="T100" i="14"/>
  <c r="AA100" i="14" s="1"/>
  <c r="P34" i="14"/>
  <c r="B68" i="8"/>
  <c r="X100" i="14"/>
  <c r="K33" i="21" l="1"/>
  <c r="P33" i="20"/>
  <c r="G36" i="20"/>
  <c r="J36" i="21"/>
  <c r="I36" i="20"/>
  <c r="N75" i="6"/>
  <c r="H34" i="20"/>
  <c r="I34" i="21" s="1"/>
  <c r="G68" i="8"/>
  <c r="I68" i="8" s="1"/>
  <c r="O117" i="6"/>
  <c r="B117" i="6"/>
  <c r="N117" i="6" s="1"/>
  <c r="P100" i="14"/>
  <c r="K36" i="20" s="1"/>
  <c r="W100" i="14"/>
  <c r="L36" i="21" s="1"/>
  <c r="D68" i="8"/>
  <c r="B69" i="8"/>
  <c r="J34" i="20" l="1"/>
  <c r="K34" i="21"/>
  <c r="P34" i="20"/>
  <c r="N36" i="20"/>
  <c r="H36" i="21"/>
  <c r="H35" i="20"/>
  <c r="I35" i="21" s="1"/>
  <c r="G69" i="8"/>
  <c r="I69" i="8" s="1"/>
  <c r="B70" i="8"/>
  <c r="D69" i="8"/>
  <c r="J35" i="20" l="1"/>
  <c r="L36" i="20"/>
  <c r="M36" i="20"/>
  <c r="H36" i="20"/>
  <c r="G70" i="8"/>
  <c r="I70" i="8" s="1"/>
  <c r="I36" i="21"/>
  <c r="D70" i="8"/>
  <c r="J36" i="20" l="1"/>
  <c r="K35" i="21"/>
  <c r="P35" i="20"/>
  <c r="B19" i="18"/>
  <c r="B8" i="18"/>
  <c r="P36" i="20" l="1"/>
  <c r="K36" i="21"/>
  <c r="B5" i="18" s="1"/>
  <c r="B22" i="18"/>
  <c r="B20" i="18"/>
  <c r="B6" i="18" l="1"/>
  <c r="B6" i="20"/>
  <c r="L9" i="3"/>
  <c r="B8" i="20"/>
  <c r="M9" i="3" l="1"/>
  <c r="V9" i="3" s="1"/>
  <c r="U9" i="3"/>
  <c r="O8" i="20"/>
  <c r="C8" i="21"/>
  <c r="P8" i="21" s="1"/>
  <c r="B9" i="19" s="1"/>
  <c r="L10" i="3"/>
  <c r="B7" i="20"/>
  <c r="B36" i="20" s="1"/>
  <c r="C6" i="21"/>
  <c r="O6" i="20"/>
  <c r="L11" i="3"/>
  <c r="M10" i="3" l="1"/>
  <c r="V10" i="3" s="1"/>
  <c r="U10" i="3"/>
  <c r="M11" i="3"/>
  <c r="V11" i="3" s="1"/>
  <c r="U11" i="3"/>
  <c r="P6" i="21"/>
  <c r="O7" i="20"/>
  <c r="O36" i="20" s="1"/>
  <c r="C7" i="21"/>
  <c r="P7" i="21" s="1"/>
  <c r="B8" i="19" s="1"/>
  <c r="B7" i="19" l="1"/>
  <c r="D7" i="19" s="1"/>
  <c r="D8" i="19" s="1"/>
  <c r="P36" i="21"/>
  <c r="B13" i="18" s="1"/>
  <c r="C36" i="21"/>
  <c r="B41" i="19"/>
  <c r="H7" i="19"/>
  <c r="B27" i="18"/>
  <c r="D9" i="19" l="1"/>
  <c r="B43" i="19" s="1"/>
  <c r="B42" i="19"/>
  <c r="H8" i="19"/>
  <c r="F8" i="19"/>
  <c r="D10" i="19" l="1"/>
  <c r="B44" i="19" s="1"/>
  <c r="D11" i="19"/>
  <c r="B45" i="19" s="1"/>
  <c r="D12" i="19" l="1"/>
  <c r="B46" i="19" s="1"/>
  <c r="D13" i="19" l="1"/>
  <c r="B47" i="19" s="1"/>
  <c r="D14" i="19" l="1"/>
  <c r="B48" i="19" s="1"/>
  <c r="D15" i="19" l="1"/>
  <c r="B49" i="19" s="1"/>
  <c r="D16" i="19" l="1"/>
  <c r="B50" i="19" s="1"/>
  <c r="D17" i="19" l="1"/>
  <c r="B51" i="19" s="1"/>
  <c r="D18" i="19" l="1"/>
  <c r="B52" i="19" s="1"/>
  <c r="D19" i="19" l="1"/>
  <c r="B53" i="19" s="1"/>
  <c r="D20" i="19" l="1"/>
  <c r="B54" i="19" s="1"/>
  <c r="D21" i="19" l="1"/>
  <c r="B55" i="19" s="1"/>
  <c r="D22" i="19" l="1"/>
  <c r="B56" i="19" s="1"/>
  <c r="D23" i="19" l="1"/>
  <c r="B57" i="19" s="1"/>
  <c r="D24" i="19" l="1"/>
  <c r="B58" i="19" s="1"/>
  <c r="D25" i="19" l="1"/>
  <c r="B59" i="19" s="1"/>
  <c r="D26" i="19" l="1"/>
  <c r="B60" i="19" s="1"/>
  <c r="D27" i="19" l="1"/>
  <c r="B61" i="19" s="1"/>
  <c r="D28" i="19" l="1"/>
  <c r="B62" i="19" s="1"/>
  <c r="D29" i="19" l="1"/>
  <c r="B63" i="19" s="1"/>
  <c r="D30" i="19" l="1"/>
  <c r="B64" i="19" s="1"/>
  <c r="D31" i="19" l="1"/>
  <c r="D32" i="19" l="1"/>
  <c r="B66" i="19" s="1"/>
  <c r="B65" i="19"/>
  <c r="D33" i="19" l="1"/>
  <c r="B67" i="19" s="1"/>
  <c r="D34" i="19"/>
  <c r="B68" i="19" s="1"/>
  <c r="D35" i="19" l="1"/>
  <c r="B69" i="19" s="1"/>
  <c r="D36" i="19" l="1"/>
  <c r="B70" i="19" s="1"/>
  <c r="O18" i="21" l="1"/>
  <c r="Q18" i="21" s="1"/>
  <c r="M25" i="21"/>
  <c r="M27" i="21"/>
  <c r="N14" i="21"/>
  <c r="O34" i="21"/>
  <c r="Q34" i="21" s="1"/>
  <c r="M14" i="21"/>
  <c r="N33" i="21"/>
  <c r="N30" i="21"/>
  <c r="M15" i="21"/>
  <c r="M31" i="21"/>
  <c r="N28" i="21"/>
  <c r="O17" i="21"/>
  <c r="Q17" i="21" s="1"/>
  <c r="N23" i="21"/>
  <c r="O21" i="21"/>
  <c r="Q21" i="21" s="1"/>
  <c r="N31" i="21"/>
  <c r="N27" i="21"/>
  <c r="M23" i="21"/>
  <c r="O14" i="21"/>
  <c r="Q14" i="21" s="1"/>
  <c r="O26" i="21"/>
  <c r="Q26" i="21" s="1"/>
  <c r="N35" i="21"/>
  <c r="N13" i="21"/>
  <c r="M21" i="21"/>
  <c r="M19" i="21"/>
  <c r="N10" i="21"/>
  <c r="M16" i="21"/>
  <c r="M17" i="21"/>
  <c r="M18" i="21"/>
  <c r="N24" i="21"/>
  <c r="N20" i="21"/>
  <c r="N29" i="21"/>
  <c r="M10" i="21"/>
  <c r="O33" i="21"/>
  <c r="Q33" i="21" s="1"/>
  <c r="C34" i="19" s="1"/>
  <c r="O12" i="21"/>
  <c r="Q12" i="21" s="1"/>
  <c r="M13" i="21"/>
  <c r="N9" i="21"/>
  <c r="M28" i="21"/>
  <c r="N11" i="21"/>
  <c r="N26" i="21"/>
  <c r="O24" i="21"/>
  <c r="Q24" i="21" s="1"/>
  <c r="O31" i="21"/>
  <c r="Q31" i="21" s="1"/>
  <c r="M24" i="21"/>
  <c r="N25" i="21"/>
  <c r="M9" i="21"/>
  <c r="N18" i="21"/>
  <c r="O28" i="21"/>
  <c r="Q28" i="21" s="1"/>
  <c r="O19" i="21"/>
  <c r="Q19" i="21" s="1"/>
  <c r="M35" i="21"/>
  <c r="N16" i="21"/>
  <c r="M22" i="21"/>
  <c r="M33" i="21"/>
  <c r="M29" i="21"/>
  <c r="M12" i="21"/>
  <c r="O30" i="21"/>
  <c r="Q30" i="21" s="1"/>
  <c r="M20" i="21"/>
  <c r="N22" i="21"/>
  <c r="M8" i="21"/>
  <c r="M32" i="21"/>
  <c r="O16" i="21"/>
  <c r="Q16" i="21" s="1"/>
  <c r="N34" i="21"/>
  <c r="N12" i="21"/>
  <c r="N21" i="21"/>
  <c r="O9" i="21"/>
  <c r="O32" i="21"/>
  <c r="Q32" i="21" s="1"/>
  <c r="M34" i="21"/>
  <c r="M30" i="21"/>
  <c r="O23" i="21"/>
  <c r="Q23" i="21" s="1"/>
  <c r="N17" i="21"/>
  <c r="O13" i="21"/>
  <c r="Q13" i="21" s="1"/>
  <c r="N32" i="21"/>
  <c r="O35" i="21"/>
  <c r="Q35" i="21" s="1"/>
  <c r="O15" i="21"/>
  <c r="Q15" i="21" s="1"/>
  <c r="O22" i="21"/>
  <c r="Q22" i="21" s="1"/>
  <c r="O29" i="21"/>
  <c r="Q29" i="21" s="1"/>
  <c r="O25" i="21"/>
  <c r="Q25" i="21" s="1"/>
  <c r="O27" i="21"/>
  <c r="Q27" i="21" s="1"/>
  <c r="B21" i="18"/>
  <c r="B25" i="18" s="1"/>
  <c r="B29" i="18" s="1"/>
  <c r="M26" i="21"/>
  <c r="O10" i="21"/>
  <c r="Q10" i="21" s="1"/>
  <c r="N15" i="21"/>
  <c r="O8" i="21"/>
  <c r="Q8" i="21" s="1"/>
  <c r="C9" i="19" s="1"/>
  <c r="E9" i="19" s="1"/>
  <c r="M11" i="21"/>
  <c r="N19" i="21"/>
  <c r="N8" i="21"/>
  <c r="O11" i="21"/>
  <c r="Q11" i="21" s="1"/>
  <c r="O20" i="21"/>
  <c r="Q20" i="21" s="1"/>
  <c r="C13" i="19" l="1"/>
  <c r="C43" i="19"/>
  <c r="F9" i="19"/>
  <c r="H9" i="19"/>
  <c r="C32" i="19"/>
  <c r="C19" i="19"/>
  <c r="C25" i="19"/>
  <c r="C22" i="19"/>
  <c r="C28" i="19"/>
  <c r="C20" i="19"/>
  <c r="M36" i="21"/>
  <c r="C31" i="19"/>
  <c r="C17" i="19"/>
  <c r="N36" i="21"/>
  <c r="C26" i="19"/>
  <c r="C23" i="19"/>
  <c r="C27" i="19"/>
  <c r="O36" i="21"/>
  <c r="B7" i="18" s="1"/>
  <c r="B11" i="18" s="1"/>
  <c r="Q9" i="21"/>
  <c r="Q36" i="21" s="1"/>
  <c r="C21" i="19"/>
  <c r="C36" i="19"/>
  <c r="C35" i="19"/>
  <c r="C33" i="19"/>
  <c r="C30" i="19"/>
  <c r="C24" i="19"/>
  <c r="C18" i="19"/>
  <c r="C16" i="19"/>
  <c r="C15" i="19"/>
  <c r="C14" i="19"/>
  <c r="C11" i="19"/>
  <c r="C12" i="19"/>
  <c r="B28" i="18"/>
  <c r="C29" i="19"/>
  <c r="C10" i="19" l="1"/>
  <c r="E10" i="19" s="1"/>
  <c r="E11" i="19" s="1"/>
  <c r="B14" i="18"/>
  <c r="B16" i="18"/>
  <c r="F10" i="19" l="1"/>
  <c r="H10" i="19"/>
  <c r="C44" i="19"/>
  <c r="C45" i="19"/>
  <c r="H11" i="19"/>
  <c r="F11" i="19"/>
  <c r="E12" i="19"/>
  <c r="C46" i="19" l="1"/>
  <c r="E13" i="19"/>
  <c r="H12" i="19"/>
  <c r="F12" i="19"/>
  <c r="E14" i="19" l="1"/>
  <c r="H13" i="19"/>
  <c r="F13" i="19"/>
  <c r="C47" i="19"/>
  <c r="H14" i="19" l="1"/>
  <c r="F14" i="19"/>
  <c r="C48" i="19"/>
  <c r="E15" i="19"/>
  <c r="E16" i="19" l="1"/>
  <c r="H15" i="19"/>
  <c r="F15" i="19"/>
  <c r="C49" i="19"/>
  <c r="H16" i="19" l="1"/>
  <c r="F16" i="19"/>
  <c r="C50" i="19"/>
  <c r="E17" i="19"/>
  <c r="F17" i="19" l="1"/>
  <c r="C51" i="19"/>
  <c r="H17" i="19"/>
  <c r="E18" i="19"/>
  <c r="F18" i="19" l="1"/>
  <c r="E19" i="19"/>
  <c r="C52" i="19"/>
  <c r="H18" i="19"/>
  <c r="C53" i="19" l="1"/>
  <c r="H19" i="19"/>
  <c r="F19" i="19"/>
  <c r="E20" i="19"/>
  <c r="F20" i="19" l="1"/>
  <c r="H20" i="19"/>
  <c r="E21" i="19"/>
  <c r="C54" i="19"/>
  <c r="H21" i="19" l="1"/>
  <c r="E22" i="19"/>
  <c r="C55" i="19"/>
  <c r="F21" i="19"/>
  <c r="C56" i="19" l="1"/>
  <c r="F22" i="19"/>
  <c r="E23" i="19"/>
  <c r="H22" i="19"/>
  <c r="H23" i="19" l="1"/>
  <c r="C57" i="19"/>
  <c r="F23" i="19"/>
  <c r="E24" i="19"/>
  <c r="E25" i="19" l="1"/>
  <c r="C58" i="19"/>
  <c r="H24" i="19"/>
  <c r="F24" i="19"/>
  <c r="F25" i="19" l="1"/>
  <c r="E26" i="19"/>
  <c r="H25" i="19"/>
  <c r="C59" i="19"/>
  <c r="E27" i="19" l="1"/>
  <c r="H26" i="19"/>
  <c r="F26" i="19"/>
  <c r="C60" i="19"/>
  <c r="E28" i="19" l="1"/>
  <c r="H27" i="19"/>
  <c r="C61" i="19"/>
  <c r="F27" i="19"/>
  <c r="E29" i="19" l="1"/>
  <c r="C62" i="19"/>
  <c r="H28" i="19"/>
  <c r="F28" i="19"/>
  <c r="H29" i="19" l="1"/>
  <c r="F29" i="19"/>
  <c r="E30" i="19"/>
  <c r="C63" i="19"/>
  <c r="E31" i="19" l="1"/>
  <c r="F30" i="19"/>
  <c r="H30" i="19"/>
  <c r="C64" i="19"/>
  <c r="E32" i="19" l="1"/>
  <c r="C65" i="19"/>
  <c r="H31" i="19"/>
  <c r="F31" i="19"/>
  <c r="H32" i="19" l="1"/>
  <c r="F32" i="19"/>
  <c r="C66" i="19"/>
  <c r="E33" i="19"/>
  <c r="F33" i="19" l="1"/>
  <c r="C67" i="19"/>
  <c r="E34" i="19"/>
  <c r="H33" i="19"/>
  <c r="C68" i="19" l="1"/>
  <c r="F34" i="19"/>
  <c r="H34" i="19"/>
  <c r="E35" i="19"/>
  <c r="H35" i="19" l="1"/>
  <c r="F35" i="19"/>
  <c r="C69" i="19"/>
  <c r="E36" i="19"/>
  <c r="H36" i="19" l="1"/>
  <c r="C70" i="19"/>
  <c r="F36" i="19"/>
</calcChain>
</file>

<file path=xl/comments1.xml><?xml version="1.0" encoding="utf-8"?>
<comments xmlns="http://schemas.openxmlformats.org/spreadsheetml/2006/main">
  <authors>
    <author>tc={618A013C-57EB-4BE4-BE5A-179B572A9356}</author>
  </authors>
  <commentList>
    <comment ref="T38"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is because the average speed is higher in the build scenario</t>
        </r>
      </text>
    </comment>
  </commentList>
</comments>
</file>

<file path=xl/sharedStrings.xml><?xml version="1.0" encoding="utf-8"?>
<sst xmlns="http://schemas.openxmlformats.org/spreadsheetml/2006/main" count="774" uniqueCount="270">
  <si>
    <t>CAGR</t>
  </si>
  <si>
    <t>Year</t>
  </si>
  <si>
    <t>Build</t>
  </si>
  <si>
    <t>No Build</t>
  </si>
  <si>
    <t>Fatal</t>
  </si>
  <si>
    <t>PDO</t>
  </si>
  <si>
    <t>Total</t>
  </si>
  <si>
    <t>Injury</t>
  </si>
  <si>
    <t>BUILD</t>
  </si>
  <si>
    <t>No BUILD</t>
  </si>
  <si>
    <t>No Build VHT</t>
  </si>
  <si>
    <t>Build VHT</t>
  </si>
  <si>
    <t>No Build VOTT</t>
  </si>
  <si>
    <t>Truck</t>
  </si>
  <si>
    <t>VOC/mile</t>
  </si>
  <si>
    <t xml:space="preserve">Build VOTT </t>
  </si>
  <si>
    <t xml:space="preserve">Difference Build vs No Build  VOTT </t>
  </si>
  <si>
    <t>Discounted</t>
  </si>
  <si>
    <t>Discount</t>
  </si>
  <si>
    <t>Speed</t>
  </si>
  <si>
    <t>No Build VMT</t>
  </si>
  <si>
    <t>Build VMT</t>
  </si>
  <si>
    <t>No Build VOC</t>
  </si>
  <si>
    <t>Build VOC</t>
  </si>
  <si>
    <t>Discounted Total</t>
  </si>
  <si>
    <t>HIGHWAY EMISSIONS FACTORS (g/mi)</t>
  </si>
  <si>
    <t>Mode</t>
  </si>
  <si>
    <r>
      <t>CO</t>
    </r>
    <r>
      <rPr>
        <b/>
        <vertAlign val="subscript"/>
        <sz val="10"/>
        <rFont val="Arial"/>
        <family val="2"/>
      </rPr>
      <t>2</t>
    </r>
  </si>
  <si>
    <r>
      <t>NO</t>
    </r>
    <r>
      <rPr>
        <b/>
        <vertAlign val="subscript"/>
        <sz val="10"/>
        <rFont val="Arial"/>
        <family val="2"/>
      </rPr>
      <t>X</t>
    </r>
  </si>
  <si>
    <r>
      <t>SO</t>
    </r>
    <r>
      <rPr>
        <b/>
        <vertAlign val="subscript"/>
        <sz val="10"/>
        <rFont val="Arial"/>
        <family val="2"/>
      </rPr>
      <t>X</t>
    </r>
  </si>
  <si>
    <r>
      <t>PM</t>
    </r>
    <r>
      <rPr>
        <b/>
        <vertAlign val="subscript"/>
        <sz val="10"/>
        <rFont val="Arial"/>
        <family val="2"/>
      </rPr>
      <t>2.5</t>
    </r>
  </si>
  <si>
    <t>Auto</t>
  </si>
  <si>
    <t>HIGHWAY EMISSIONS FACTORS (GRAMS)</t>
  </si>
  <si>
    <t>Source: Caltrans</t>
  </si>
  <si>
    <t>HIGHWAY EMISSIONS FACTORS (Cost per Metric Ton)</t>
  </si>
  <si>
    <t>All Vehicles</t>
  </si>
  <si>
    <t>HIGHWAY EMISSIONS COSTS</t>
  </si>
  <si>
    <t>CAGRs</t>
  </si>
  <si>
    <t>Growth Rates</t>
  </si>
  <si>
    <t>CO2</t>
  </si>
  <si>
    <t>NOX</t>
  </si>
  <si>
    <t>SOX</t>
  </si>
  <si>
    <t>PM2.5</t>
  </si>
  <si>
    <t>Difference Build vs No-Build</t>
  </si>
  <si>
    <t>VMT</t>
  </si>
  <si>
    <t>Fatal Crash</t>
  </si>
  <si>
    <t>Injury Crash</t>
  </si>
  <si>
    <t>PDO Crash</t>
  </si>
  <si>
    <t xml:space="preserve">NO BUILD </t>
  </si>
  <si>
    <t>NO BUILD  Crash Cost $</t>
  </si>
  <si>
    <t>https://crashstats.nhtsa.dot.gov/Api/Public/ViewPublication/812013</t>
  </si>
  <si>
    <t>BUILD  Crash Cost $</t>
  </si>
  <si>
    <t>NO BUILD  Discounted Crash Cost $</t>
  </si>
  <si>
    <t>BUILD  Discounted Crash Cost $</t>
  </si>
  <si>
    <t>Discount Factor</t>
  </si>
  <si>
    <t>About the B/C Assessment Spreadsheet Tabs</t>
  </si>
  <si>
    <t xml:space="preserve">The Benefit Cost (B/C) spreadsheet provided is broken down into several tabs to make it easy to understand the assumptions that were made to calculate costs and benefits.  Below follows a brief description of the intent of each tab. </t>
  </si>
  <si>
    <t>Tab Name</t>
  </si>
  <si>
    <t>Description</t>
  </si>
  <si>
    <t>Default Values</t>
  </si>
  <si>
    <t xml:space="preserve">Details of various rates and parameters used for estimating economic impacts in different categories, including: </t>
  </si>
  <si>
    <t xml:space="preserve"> - Discount rates</t>
  </si>
  <si>
    <t xml:space="preserve"> - Value of Time (VOT) by vehicle time and trip purpose</t>
  </si>
  <si>
    <t>-  Average Vehicle Occupancy (AVO) by vehicle type</t>
  </si>
  <si>
    <t xml:space="preserve"> - Vehicle operating costs by vehicle type</t>
  </si>
  <si>
    <t xml:space="preserve"> - Emission amounts and costs by emission type</t>
  </si>
  <si>
    <t xml:space="preserve"> - Crash costs by crash severity </t>
  </si>
  <si>
    <t>This tab presents the summary of the benefit cost analysis (BCA) results in various categories and the benefit-cost ratio (BCR).</t>
  </si>
  <si>
    <t>Break-Even Graph</t>
  </si>
  <si>
    <t>This tab presents a graphic of the benefit and cost flows and project breakeven.</t>
  </si>
  <si>
    <t xml:space="preserve">Value of Travel Time </t>
  </si>
  <si>
    <t>Vehicle Type</t>
  </si>
  <si>
    <t>Value</t>
  </si>
  <si>
    <t>Unit</t>
  </si>
  <si>
    <t>Source Name</t>
  </si>
  <si>
    <t>Source Link (if available online)</t>
  </si>
  <si>
    <t>Crew Cost Factor</t>
  </si>
  <si>
    <t>Trucks</t>
  </si>
  <si>
    <t xml:space="preserve">Passenger Personal Cost Factor </t>
  </si>
  <si>
    <t>Passenger Cars</t>
  </si>
  <si>
    <t>Per Vehicle Cost Factors</t>
  </si>
  <si>
    <t>Vehicle Operating Cost</t>
  </si>
  <si>
    <t>Default Vehicle Loading Factors</t>
  </si>
  <si>
    <t>Source Link</t>
  </si>
  <si>
    <t>Crew per Vehicle</t>
  </si>
  <si>
    <t>All Trucks</t>
  </si>
  <si>
    <t>Passengers per Vehicle</t>
  </si>
  <si>
    <t>Passenger Car</t>
  </si>
  <si>
    <t>Rates</t>
  </si>
  <si>
    <t xml:space="preserve">Discount Rate </t>
  </si>
  <si>
    <t>Emissions Rates</t>
  </si>
  <si>
    <t>See Sheet "Environmental Factors"</t>
  </si>
  <si>
    <t>Emission Costs</t>
  </si>
  <si>
    <t>Passenger Car, Truck</t>
  </si>
  <si>
    <t>per crash</t>
  </si>
  <si>
    <t>Property Damage Only Crashes</t>
  </si>
  <si>
    <t>Benefits and Costs</t>
  </si>
  <si>
    <t>Travel Time Savings</t>
  </si>
  <si>
    <t>Vehicle Operating Cost Savings</t>
  </si>
  <si>
    <t>Safety Crash Cost</t>
  </si>
  <si>
    <t>Environmental Sustainability</t>
  </si>
  <si>
    <t>Residual Asset Value</t>
  </si>
  <si>
    <t>Total Benefits</t>
  </si>
  <si>
    <t>Capital Costs</t>
  </si>
  <si>
    <t>Total Costs</t>
  </si>
  <si>
    <t>Benefit/Cost Ratio</t>
  </si>
  <si>
    <t>7% Discount Rate</t>
  </si>
  <si>
    <t>Source:</t>
  </si>
  <si>
    <t>Caltrans : California Active Transportation Benefit/Cost Analysis Model for 2020 INFRA Applications (Cal-B/C AT) Version 7.1</t>
  </si>
  <si>
    <t>persons</t>
  </si>
  <si>
    <t>$/metric ton</t>
  </si>
  <si>
    <t>BUILD vs No BUILD Discounted Crash Cost Savings $</t>
  </si>
  <si>
    <t>BUILD vs No BUILD Crash Cost Savings $</t>
  </si>
  <si>
    <t>Break-even year</t>
  </si>
  <si>
    <t>7% Dis Costs</t>
  </si>
  <si>
    <t>7% Dis Benefits</t>
  </si>
  <si>
    <t>7% Dis Costs Cumulative</t>
  </si>
  <si>
    <t>7% Dis Benefits Cumulative</t>
  </si>
  <si>
    <t>Break-even Indicator</t>
  </si>
  <si>
    <t>Construction - Capital</t>
  </si>
  <si>
    <t>Net Costs (Build - Non-Build)</t>
  </si>
  <si>
    <t>Net Costs</t>
  </si>
  <si>
    <t>Net Benefits</t>
  </si>
  <si>
    <t>Auto VOC Savings</t>
  </si>
  <si>
    <t>Truck VOC Savings</t>
  </si>
  <si>
    <t>Value of Travel Time Savings</t>
  </si>
  <si>
    <t>Auto VOTT Savings</t>
  </si>
  <si>
    <t>Truck VOTT Savings</t>
  </si>
  <si>
    <t>Cost of Environmental Damage</t>
  </si>
  <si>
    <t>Net Environmental Damage Reductions</t>
  </si>
  <si>
    <t>Safety Benefits (Crash Reductions)</t>
  </si>
  <si>
    <t>Nominal Value</t>
  </si>
  <si>
    <t>Costs</t>
  </si>
  <si>
    <t>Benefits</t>
  </si>
  <si>
    <t>ProjectBenefits&amp;Costs  BCR</t>
  </si>
  <si>
    <t>BCA Summary Nominal</t>
  </si>
  <si>
    <t>This tab summarizes the annual benefits and costs in various categories for the study period in nominal dollars</t>
  </si>
  <si>
    <t>This tab summarizes the annual benefits and costs in various categories for the study period in 2019 discounted dollars</t>
  </si>
  <si>
    <t>BCA Summary Discounted</t>
  </si>
  <si>
    <t>Project Capital and O&amp;M Costs</t>
  </si>
  <si>
    <t>This tab provides the project cost flow and discounted flows.</t>
  </si>
  <si>
    <t>Crash Rates</t>
  </si>
  <si>
    <t>Crashes and Crash Cost Savings</t>
  </si>
  <si>
    <t>Emvironmental Factors</t>
  </si>
  <si>
    <t>Emissions Per VMT</t>
  </si>
  <si>
    <t>This tab provides interpolates and applies the emissions values from the "Environmental Factors" tab to the No-Build and Build scenarios on a VMT basis.</t>
  </si>
  <si>
    <t>Emissions Total</t>
  </si>
  <si>
    <t>This tab applies per VMT emissions estimates from "Emissions Per VMT" tab to the VMT to derive total emissions for the No-Build and Build scenarios.</t>
  </si>
  <si>
    <t>Emissions Costs</t>
  </si>
  <si>
    <t>This tab monetizes the No-Build and Build scenario emissions calculated in the "Emissions Total" tab.</t>
  </si>
  <si>
    <t>BUILD VMT</t>
  </si>
  <si>
    <t>BUILD VHT</t>
  </si>
  <si>
    <t>No BUILD VMT</t>
  </si>
  <si>
    <t>No BUILD VHT</t>
  </si>
  <si>
    <t>Speed Base</t>
  </si>
  <si>
    <t>Auto Annual VMT</t>
  </si>
  <si>
    <t>Auto Annual VHT</t>
  </si>
  <si>
    <t>Truck Annual VMT</t>
  </si>
  <si>
    <t>Truck Annual VHT</t>
  </si>
  <si>
    <t xml:space="preserve">Total Annual VMT </t>
  </si>
  <si>
    <t xml:space="preserve">Total Annual VHT </t>
  </si>
  <si>
    <t>Autos</t>
  </si>
  <si>
    <t>Cars</t>
  </si>
  <si>
    <t>Annual Reduction Factors</t>
  </si>
  <si>
    <t>TDM data</t>
  </si>
  <si>
    <t xml:space="preserve">Several data sources and models were reviewed in the development of VMT and VHT estimates requested for developing the values for the BCS. The following data sets were available from travel demand model runs that were conducted as part of various studies in the region. </t>
  </si>
  <si>
    <t>VMT to VOC Savings</t>
  </si>
  <si>
    <t>Difference Build vs No Build  VOC</t>
  </si>
  <si>
    <t>NPV</t>
  </si>
  <si>
    <t>Difference</t>
  </si>
  <si>
    <t>https://static.tti.tamu.edu/tti.tamu.edu/documents/TTI-2020-8.pdf</t>
  </si>
  <si>
    <t>Technical Memorandum Analysis Procedures and Mobility Performance Measures 100 Most Congested Texas Road Sections Prepared by Texas A&amp;M Transportation Institute November 2020</t>
  </si>
  <si>
    <t>Fatality</t>
  </si>
  <si>
    <t>Per fatality</t>
  </si>
  <si>
    <t>KABCO Accident Levels; MAIS Injury Levels</t>
  </si>
  <si>
    <t>CAGR:</t>
  </si>
  <si>
    <t>CRASHES</t>
  </si>
  <si>
    <t xml:space="preserve">BUILD </t>
  </si>
  <si>
    <t>This tab calculates the cost of of crashes for the No-Build and Build scenarios and values the reduction in crashes.</t>
  </si>
  <si>
    <r>
      <rPr>
        <b/>
        <sz val="11"/>
        <color theme="1"/>
        <rFont val="Calibri"/>
        <family val="2"/>
        <scheme val="minor"/>
      </rPr>
      <t>Value of Residual Useful Life</t>
    </r>
    <r>
      <rPr>
        <sz val="11"/>
        <color theme="1"/>
        <rFont val="Calibri"/>
        <family val="2"/>
        <scheme val="minor"/>
      </rPr>
      <t xml:space="preserve">  - 50 yr Life assumed (Millions)</t>
    </r>
  </si>
  <si>
    <t>NPV=</t>
  </si>
  <si>
    <t>Quality of Life - Health Benefits</t>
  </si>
  <si>
    <t>(Bicycle)</t>
  </si>
  <si>
    <t>Health Cost Savings from Physical Activity</t>
  </si>
  <si>
    <t xml:space="preserve"> -Quality of Life Benefits</t>
  </si>
  <si>
    <t>Note 2051-2058 held at 2050 costs</t>
  </si>
  <si>
    <t>https://www.transportation.gov/sites/dot.gov/files/2022-03/Benefit%20Cost%20Analysis%20Guidance%202022%20%28Revised%29.pdf</t>
  </si>
  <si>
    <t>2020$ / hr per crew member</t>
  </si>
  <si>
    <t>2020 $/hr per occupant.-All purposes</t>
  </si>
  <si>
    <t>2020$ / Mile</t>
  </si>
  <si>
    <t>Model Year 2024</t>
  </si>
  <si>
    <t>Model Year 2044</t>
  </si>
  <si>
    <t>2020 Discount Factor</t>
  </si>
  <si>
    <t>Discounted Value (2020 $ mil)</t>
  </si>
  <si>
    <t>Residual</t>
  </si>
  <si>
    <t>This tab provides emissions for autos and trucks at various speeds 2024 and 2044 as modelled by the Caltrans Cal BC 71 model.</t>
  </si>
  <si>
    <t>See Table Below.</t>
  </si>
  <si>
    <t>per crash (1.748 vehicles per crash) x $4600 per vehicle</t>
  </si>
  <si>
    <t>2020 $/induced trip</t>
  </si>
  <si>
    <t>Nominal</t>
  </si>
  <si>
    <t>Per Injury: The value of Serious Injuries is calculated by using the MAIS fraction of VSL of 0.105 of a fatality ($11,600,000).</t>
  </si>
  <si>
    <t>Serious Injury</t>
  </si>
  <si>
    <t>Maintenance &amp; Operations Savings</t>
  </si>
  <si>
    <r>
      <rPr>
        <b/>
        <sz val="11"/>
        <color theme="1"/>
        <rFont val="Calibri"/>
        <family val="2"/>
        <scheme val="minor"/>
      </rPr>
      <t xml:space="preserve">Operating &amp; Maintenance Cost </t>
    </r>
    <r>
      <rPr>
        <sz val="11"/>
        <color theme="1"/>
        <rFont val="Calibri"/>
        <family val="2"/>
        <scheme val="minor"/>
      </rPr>
      <t>- Treated as a benefit</t>
    </r>
  </si>
  <si>
    <r>
      <rPr>
        <b/>
        <sz val="11"/>
        <color theme="1"/>
        <rFont val="Calibri"/>
        <family val="2"/>
        <scheme val="minor"/>
      </rPr>
      <t xml:space="preserve">Operating &amp; Maintenance Cost Savings </t>
    </r>
    <r>
      <rPr>
        <sz val="11"/>
        <color theme="1"/>
        <rFont val="Calibri"/>
        <family val="2"/>
        <scheme val="minor"/>
      </rPr>
      <t>- Treated as a benefit</t>
    </r>
  </si>
  <si>
    <t>May 2022</t>
  </si>
  <si>
    <t>VMT Changes (Build VMT - No Build VMT)</t>
  </si>
  <si>
    <t>Changes (BUILD - NO BUILD)</t>
  </si>
  <si>
    <t>Note: Negative values indicate VOC savings while positive values indicate additional VOC</t>
  </si>
  <si>
    <t>Note: Negative values indicate VHT savings while positive values indicate additional VHT</t>
  </si>
  <si>
    <t>Total Crashes</t>
  </si>
  <si>
    <t>U.S. Department of Transportation, Benefit-Cost Analysis Guidance for Discretionary Grant Programs, March 2022 (Revised)</t>
  </si>
  <si>
    <t>U.S. Department of Transportation, Benefit-Cost Analysis Guidance for Discretionary Grant Programs, March 2022 (Revised); Departmental Guidance Treatment of the Value of Preventing Fatalities and Injuries in Preparing Economic Analyses March 2021</t>
  </si>
  <si>
    <t>https://www.transportation.gov/sites/dot.gov/files/2022-03/Benefit%20Cost%20Analysis%20Guidance%202022%20%28Revised%29.pdf;   https://www.transportation.gov/sites/dot.gov/files/2021-03/DOT%20VSL%20Guidance%20-%202021%20Update.pdf</t>
  </si>
  <si>
    <t>Crashes Avoided Build vs. No Build</t>
  </si>
  <si>
    <t xml:space="preserve">Cal-B/C 2022 INFRA/RAISE Sketch Model v8.1. </t>
  </si>
  <si>
    <t xml:space="preserve">Source: </t>
  </si>
  <si>
    <t>https://dot.ca.gov/programs/transportation-planning/division-of-transportation-planning/data-analytics-services/transportation-economics#:~:text=Cal%2DB/C%202022%20INFRA/%20RAISE%20Corridor%20Model%20v8.1%20(XLSM)</t>
  </si>
  <si>
    <t>Chicago Department of Transportation</t>
  </si>
  <si>
    <t>Provided by CDOT</t>
  </si>
  <si>
    <t>O&amp;M</t>
  </si>
  <si>
    <t>Bridges</t>
  </si>
  <si>
    <t>TDM Base Year 2019</t>
  </si>
  <si>
    <t>TDM Horizon Year 2050</t>
  </si>
  <si>
    <t>Speed 2050</t>
  </si>
  <si>
    <t>Speed 2026</t>
  </si>
  <si>
    <t>Base Year</t>
  </si>
  <si>
    <t>Horizon Year</t>
  </si>
  <si>
    <t>Bridge Closure Year 2025</t>
  </si>
  <si>
    <t>Speed 2025</t>
  </si>
  <si>
    <t>Base Until 2025</t>
  </si>
  <si>
    <t>1 - Chicago 2025 and 2050 network with bridges, CMAP Trip Tables</t>
  </si>
  <si>
    <t>2- City of Chicago 2025 and 2050 network without bridges, CMAP Trip Tables</t>
  </si>
  <si>
    <t>Total, 2029-2054</t>
  </si>
  <si>
    <t>2025-2050</t>
  </si>
  <si>
    <t>2025 - 2050</t>
  </si>
  <si>
    <t>This tab provides CMAP-provided annual VMT and VHT estimates for the No-Build and Build scenarios.</t>
  </si>
  <si>
    <t>This tab provides the annual vehicle hours of travel (VHT), and the Value of Travel Time (VOTT) for the No-Build and Build scenarios.</t>
  </si>
  <si>
    <t>This applies mile-based cost factors to Vehicle Miles Traveled (VMT) to calculate Vehicle Operating Costs (VOC) for the No-Build and Build scenarios.</t>
  </si>
  <si>
    <t>This tab provides CDOT-sourced crash projections for the No-Build and Build scenarios.</t>
  </si>
  <si>
    <t>Bridge Closure Year*</t>
  </si>
  <si>
    <t xml:space="preserve">*In the absence of construction, it is estimated that the bridges will close in 2025. Construction is not slated to be completed until 2026. To be conservative, this analysis assumes benefits do not begin accruing until 2027, though the reality is that benefits will begin accruing compared to the no-build scenario as soon as 2025. </t>
  </si>
  <si>
    <t>Project Construction Period: 2024 - 2026</t>
  </si>
  <si>
    <t>30 year Build O&amp;M:</t>
  </si>
  <si>
    <t>No-Build O&amp;M</t>
  </si>
  <si>
    <t>The bridges will be raised to the "Up" position in 2025 and no further regular maintenance will take place</t>
  </si>
  <si>
    <t>$125K per bridge annual O&amp;M starting 2027</t>
  </si>
  <si>
    <t>Project Year</t>
  </si>
  <si>
    <t xml:space="preserve">CMAP performed two model runs for a base year (2019), anticipated bridge closure year (2025), and horizon year (2050, the furthest out year in their model). 
</t>
  </si>
  <si>
    <t>Auto Speed</t>
  </si>
  <si>
    <t>Truck Speed</t>
  </si>
  <si>
    <t>Total Speed</t>
  </si>
  <si>
    <t>7% Discount</t>
  </si>
  <si>
    <t>3% Discount</t>
  </si>
  <si>
    <t>Difference Build vs No-Build - Discounted</t>
  </si>
  <si>
    <t>Environmental Factors 2</t>
  </si>
  <si>
    <t xml:space="preserve">This tab provides an interpolation of annual emissions reduction factors based off of the Caltrans model at various speeds between 2024 and 2045. </t>
  </si>
  <si>
    <t>Annual VMT - Chicago</t>
  </si>
  <si>
    <t>Total Crashes - Chicago</t>
  </si>
  <si>
    <t>PDO Crashes - Chicago</t>
  </si>
  <si>
    <t>Injury Crashes - Chicago</t>
  </si>
  <si>
    <t>Fatal Crashes - Chicago</t>
  </si>
  <si>
    <t>IDOT. "City Summary Crash Report: Chicago." 2010-2019 Calendar Year. http://apps.dot.illinois.gov/eplan/desenv/crash/City%20Summaries/</t>
  </si>
  <si>
    <t>IDOT. "Illinois Travel Statistics." 2010-2019. https://idot.illinois.gov/transportation-system/Network-Overview/highway-system/illinois-travel-statistics</t>
  </si>
  <si>
    <t>2010-2019 Total</t>
  </si>
  <si>
    <t>10-Year Avg Crashes per VMT</t>
  </si>
  <si>
    <t>10-Year Avg Crashes per 100 Million VMT</t>
  </si>
  <si>
    <t>Total, 2025-2054</t>
  </si>
  <si>
    <t>VHT to VOTT Savings</t>
  </si>
  <si>
    <t>Benefit-Cost Analysis Spreadsheet for the Illinois International Port - Calumet Bridges Rehabilitation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</si>
</sst>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 #,##0_);_(* \(#,##0\);_(* &quot;-&quot;???_);_(@_)"/>
    <numFmt numFmtId="167" formatCode="0.000%"/>
    <numFmt numFmtId="168" formatCode="_(&quot;$&quot;* #,##0_);_(&quot;$&quot;* \(#,##0\);_(&quot;$&quot;* &quot;-&quot;??_);_(@_)"/>
    <numFmt numFmtId="169" formatCode="0.0000"/>
    <numFmt numFmtId="170" formatCode="&quot;$&quot;#,##0.00"/>
    <numFmt numFmtId="171" formatCode="0.00000000"/>
    <numFmt numFmtId="172" formatCode="&quot;$&quot;#,##0"/>
    <numFmt numFmtId="173" formatCode="&quot;$&quot;#,##0.0_);[Red]\(&quot;$&quot;#,##0.0\)"/>
    <numFmt numFmtId="174" formatCode="&quot;$&quot;#,##0.0"/>
    <numFmt numFmtId="175" formatCode="_(* #,##0.0_);_(* \(#,##0.0\);_(* &quot;-&quot;??_);_(@_)"/>
    <numFmt numFmtId="176" formatCode="0.0"/>
    <numFmt numFmtId="177" formatCode="#,##0.0"/>
    <numFmt numFmtId="178" formatCode="#,##0.00000000"/>
  </numFmts>
  <fonts count="4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0"/>
      <color indexed="18"/>
      <name val="Arial"/>
      <family val="2"/>
    </font>
    <font>
      <sz val="10"/>
      <color indexed="16"/>
      <name val="Arial"/>
      <family val="2"/>
    </font>
    <font>
      <b/>
      <sz val="10"/>
      <name val="Arial"/>
      <family val="2"/>
    </font>
    <font>
      <b/>
      <vertAlign val="subscript"/>
      <sz val="10"/>
      <name val="Arial"/>
      <family val="2"/>
    </font>
    <font>
      <b/>
      <i/>
      <sz val="11"/>
      <color theme="1"/>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b/>
      <sz val="11"/>
      <color theme="0"/>
      <name val="Calibri"/>
      <family val="2"/>
      <scheme val="minor"/>
    </font>
    <font>
      <sz val="11"/>
      <color theme="0"/>
      <name val="Calibri"/>
      <family val="2"/>
      <scheme val="minor"/>
    </font>
    <font>
      <sz val="10"/>
      <color theme="1"/>
      <name val="Arial"/>
      <family val="2"/>
    </font>
    <font>
      <sz val="10"/>
      <color rgb="FFFF0000"/>
      <name val="Arial"/>
      <family val="2"/>
    </font>
    <font>
      <b/>
      <sz val="18"/>
      <color theme="3"/>
      <name val="Arial"/>
      <family val="2"/>
    </font>
    <font>
      <b/>
      <u/>
      <sz val="10"/>
      <color theme="1"/>
      <name val="Arial"/>
      <family val="2"/>
    </font>
    <font>
      <b/>
      <sz val="10"/>
      <color theme="1"/>
      <name val="Arial"/>
      <family val="2"/>
    </font>
    <font>
      <b/>
      <sz val="10"/>
      <color theme="0"/>
      <name val="Arial"/>
      <family val="2"/>
    </font>
    <font>
      <sz val="10"/>
      <color theme="0"/>
      <name val="Arial"/>
      <family val="2"/>
    </font>
    <font>
      <sz val="10"/>
      <name val="Arial"/>
      <family val="2"/>
    </font>
    <font>
      <u/>
      <sz val="11"/>
      <color theme="10"/>
      <name val="Calibri"/>
      <family val="2"/>
      <scheme val="minor"/>
    </font>
    <font>
      <sz val="11"/>
      <name val="Calibri"/>
      <family val="2"/>
      <scheme val="minor"/>
    </font>
    <font>
      <b/>
      <sz val="11"/>
      <name val="Calibri"/>
      <family val="2"/>
      <scheme val="minor"/>
    </font>
    <font>
      <b/>
      <sz val="11"/>
      <color rgb="FFFF0000"/>
      <name val="Calibri"/>
      <family val="2"/>
      <scheme val="minor"/>
    </font>
    <font>
      <b/>
      <sz val="11"/>
      <color rgb="FFFFFFFF"/>
      <name val="Arial"/>
      <family val="2"/>
    </font>
    <font>
      <sz val="11"/>
      <color rgb="FF000000"/>
      <name val="Arial"/>
      <family val="2"/>
    </font>
    <font>
      <b/>
      <i/>
      <sz val="11"/>
      <color rgb="FF000000"/>
      <name val="Arial"/>
      <family val="2"/>
    </font>
    <font>
      <b/>
      <u/>
      <sz val="11"/>
      <color theme="1"/>
      <name val="Arial"/>
      <family val="2"/>
    </font>
    <font>
      <b/>
      <u/>
      <sz val="11"/>
      <color theme="1"/>
      <name val="Calibri"/>
      <family val="2"/>
      <scheme val="minor"/>
    </font>
    <font>
      <b/>
      <i/>
      <sz val="11"/>
      <color rgb="FF000000"/>
      <name val="Cambria"/>
      <family val="1"/>
    </font>
    <font>
      <sz val="14"/>
      <color theme="1"/>
      <name val="Franklin Gothic Heavy"/>
      <family val="2"/>
    </font>
    <font>
      <sz val="12"/>
      <color theme="1"/>
      <name val="Calibri"/>
      <family val="2"/>
      <scheme val="minor"/>
    </font>
    <font>
      <b/>
      <sz val="14"/>
      <color theme="1"/>
      <name val="Calibri"/>
      <family val="2"/>
      <scheme val="minor"/>
    </font>
    <font>
      <b/>
      <i/>
      <sz val="10"/>
      <color theme="1"/>
      <name val="Calibri"/>
      <family val="2"/>
      <scheme val="minor"/>
    </font>
    <font>
      <b/>
      <sz val="11"/>
      <color rgb="FF00B050"/>
      <name val="Calibri"/>
      <family val="2"/>
      <scheme val="minor"/>
    </font>
    <font>
      <sz val="14"/>
      <color theme="1"/>
      <name val="Calibri"/>
      <family val="2"/>
      <scheme val="minor"/>
    </font>
    <font>
      <sz val="12"/>
      <color theme="1"/>
      <name val="Times New Roman"/>
      <family val="1"/>
    </font>
    <font>
      <sz val="11"/>
      <color theme="1"/>
      <name val="Minion Pro"/>
      <family val="1"/>
    </font>
    <font>
      <sz val="8.5"/>
      <name val="Microsoft Sans Serif"/>
      <family val="2"/>
    </font>
    <font>
      <b/>
      <sz val="12"/>
      <color theme="1"/>
      <name val="Calibri"/>
      <family val="2"/>
      <scheme val="minor"/>
    </font>
    <font>
      <sz val="10"/>
      <name val="Calibri"/>
      <family val="2"/>
      <scheme val="minor"/>
    </font>
    <font>
      <i/>
      <sz val="10"/>
      <name val="Arial"/>
      <family val="2"/>
    </font>
    <font>
      <sz val="11"/>
      <color rgb="FFFF0000"/>
      <name val="Calibri"/>
      <family val="2"/>
    </font>
    <font>
      <sz val="11"/>
      <color rgb="FFFF0000"/>
      <name val="Courier New"/>
      <family val="3"/>
    </font>
    <font>
      <sz val="11"/>
      <color rgb="FF000000"/>
      <name val="Calibri"/>
      <family val="2"/>
    </font>
    <font>
      <b/>
      <sz val="11"/>
      <color rgb="FF000000"/>
      <name val="Calibri"/>
      <family val="2"/>
    </font>
  </fonts>
  <fills count="2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26"/>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90033"/>
        <bgColor indexed="64"/>
      </patternFill>
    </fill>
    <fill>
      <patternFill patternType="solid">
        <fgColor rgb="FFFFFFCC"/>
        <bgColor indexed="64"/>
      </patternFill>
    </fill>
    <fill>
      <patternFill patternType="solid">
        <fgColor theme="9" tint="0.39997558519241921"/>
        <bgColor indexed="64"/>
      </patternFill>
    </fill>
    <fill>
      <patternFill patternType="solid">
        <fgColor rgb="FF99FF66"/>
        <bgColor indexed="64"/>
      </patternFill>
    </fill>
    <fill>
      <patternFill patternType="solid">
        <fgColor rgb="FF0070C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48A54"/>
        <bgColor indexed="64"/>
      </patternFill>
    </fill>
    <fill>
      <patternFill patternType="solid">
        <fgColor rgb="FFDDD9C4"/>
        <bgColor indexed="64"/>
      </patternFill>
    </fill>
    <fill>
      <patternFill patternType="solid">
        <fgColor rgb="FFDDD9C3"/>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bgColor indexed="64"/>
      </patternFill>
    </fill>
    <fill>
      <patternFill patternType="solid">
        <fgColor theme="3"/>
        <bgColor indexed="64"/>
      </patternFill>
    </fill>
    <fill>
      <patternFill patternType="solid">
        <fgColor theme="9" tint="0.59999389629810485"/>
        <bgColor indexed="64"/>
      </patternFill>
    </fill>
    <fill>
      <patternFill patternType="solid">
        <fgColor theme="1"/>
        <bgColor indexed="64"/>
      </patternFill>
    </fill>
    <fill>
      <patternFill patternType="solid">
        <fgColor theme="9" tint="-0.249977111117893"/>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double">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0" fontId="41" fillId="0" borderId="0">
      <alignment vertical="top" wrapText="1"/>
      <protection locked="0"/>
    </xf>
    <xf numFmtId="0" fontId="41" fillId="0" borderId="0">
      <alignment vertical="top" wrapText="1"/>
      <protection locked="0"/>
    </xf>
    <xf numFmtId="0" fontId="22" fillId="0" borderId="0"/>
    <xf numFmtId="44" fontId="1" fillId="0" borderId="0" applyFont="0" applyFill="0" applyBorder="0" applyAlignment="0" applyProtection="0"/>
    <xf numFmtId="0" fontId="22" fillId="0" borderId="0"/>
  </cellStyleXfs>
  <cellXfs count="503">
    <xf numFmtId="0" fontId="0" fillId="0" borderId="0" xfId="0"/>
    <xf numFmtId="0" fontId="0" fillId="0" borderId="0" xfId="0" applyAlignment="1">
      <alignment vertical="center"/>
    </xf>
    <xf numFmtId="0" fontId="3" fillId="0" borderId="0" xfId="0" applyFont="1" applyAlignment="1">
      <alignment horizontal="left" vertical="center" indent="3"/>
    </xf>
    <xf numFmtId="0" fontId="3" fillId="0" borderId="0" xfId="0" applyFont="1" applyAlignment="1">
      <alignment vertical="center"/>
    </xf>
    <xf numFmtId="165" fontId="0" fillId="0" borderId="0" xfId="3" applyNumberFormat="1" applyFont="1"/>
    <xf numFmtId="164" fontId="0" fillId="0" borderId="0" xfId="0" applyNumberFormat="1"/>
    <xf numFmtId="0" fontId="0" fillId="2" borderId="0" xfId="0" applyFill="1"/>
    <xf numFmtId="167" fontId="0" fillId="0" borderId="0" xfId="3" applyNumberFormat="1" applyFont="1"/>
    <xf numFmtId="168" fontId="0" fillId="0" borderId="0" xfId="0" applyNumberFormat="1"/>
    <xf numFmtId="0" fontId="0" fillId="0" borderId="0" xfId="0" applyAlignment="1">
      <alignment wrapText="1"/>
    </xf>
    <xf numFmtId="0" fontId="0" fillId="0" borderId="3" xfId="0" applyBorder="1"/>
    <xf numFmtId="0" fontId="5" fillId="0" borderId="0" xfId="0" applyFont="1" applyAlignment="1">
      <alignment horizontal="centerContinuous"/>
    </xf>
    <xf numFmtId="0" fontId="0" fillId="0" borderId="0" xfId="0" applyAlignment="1">
      <alignment horizontal="centerContinuous"/>
    </xf>
    <xf numFmtId="0" fontId="6" fillId="0" borderId="0" xfId="0" applyFont="1" applyAlignment="1">
      <alignment horizontal="centerContinuous"/>
    </xf>
    <xf numFmtId="0" fontId="7" fillId="0" borderId="0" xfId="0" applyFont="1" applyAlignment="1">
      <alignment horizontal="left"/>
    </xf>
    <xf numFmtId="0" fontId="7" fillId="4" borderId="1" xfId="0" applyFont="1" applyFill="1" applyBorder="1" applyAlignment="1">
      <alignment horizontal="center"/>
    </xf>
    <xf numFmtId="0" fontId="7" fillId="4" borderId="5" xfId="0" applyFont="1" applyFill="1" applyBorder="1" applyAlignment="1">
      <alignment horizontal="center"/>
    </xf>
    <xf numFmtId="0" fontId="7" fillId="4" borderId="6" xfId="0" applyFont="1" applyFill="1" applyBorder="1" applyAlignment="1">
      <alignment horizontal="center"/>
    </xf>
    <xf numFmtId="0" fontId="7" fillId="4" borderId="7" xfId="0" applyFont="1" applyFill="1" applyBorder="1" applyAlignment="1">
      <alignment horizontal="center"/>
    </xf>
    <xf numFmtId="0" fontId="6" fillId="0" borderId="2" xfId="0" applyFont="1" applyBorder="1" applyAlignment="1">
      <alignment horizontal="center"/>
    </xf>
    <xf numFmtId="169" fontId="0" fillId="0" borderId="10" xfId="0" applyNumberFormat="1" applyBorder="1"/>
    <xf numFmtId="2" fontId="0" fillId="0" borderId="13" xfId="0" applyNumberFormat="1" applyBorder="1"/>
    <xf numFmtId="169" fontId="0" fillId="0" borderId="14" xfId="0" applyNumberFormat="1" applyBorder="1"/>
    <xf numFmtId="0" fontId="6" fillId="0" borderId="2" xfId="0" applyFont="1" applyBorder="1"/>
    <xf numFmtId="0" fontId="3" fillId="0" borderId="0" xfId="0" applyFont="1" applyAlignment="1">
      <alignment horizontal="center"/>
    </xf>
    <xf numFmtId="1" fontId="0" fillId="0" borderId="0" xfId="0" applyNumberFormat="1"/>
    <xf numFmtId="1" fontId="5" fillId="0" borderId="0" xfId="0" applyNumberFormat="1" applyFont="1" applyAlignment="1">
      <alignment horizontal="centerContinuous"/>
    </xf>
    <xf numFmtId="1" fontId="7" fillId="4" borderId="4" xfId="0" applyNumberFormat="1" applyFont="1" applyFill="1" applyBorder="1" applyAlignment="1">
      <alignment horizontal="center"/>
    </xf>
    <xf numFmtId="1" fontId="7" fillId="4" borderId="5" xfId="0" applyNumberFormat="1" applyFont="1" applyFill="1" applyBorder="1" applyAlignment="1">
      <alignment horizontal="center"/>
    </xf>
    <xf numFmtId="1" fontId="7" fillId="4" borderId="6" xfId="0" applyNumberFormat="1" applyFont="1" applyFill="1" applyBorder="1" applyAlignment="1">
      <alignment horizontal="center"/>
    </xf>
    <xf numFmtId="1" fontId="7" fillId="4" borderId="7" xfId="0" applyNumberFormat="1" applyFont="1" applyFill="1" applyBorder="1" applyAlignment="1">
      <alignment horizontal="center"/>
    </xf>
    <xf numFmtId="0" fontId="3" fillId="0" borderId="0" xfId="0" applyFont="1"/>
    <xf numFmtId="0" fontId="9" fillId="0" borderId="0" xfId="0" applyFont="1"/>
    <xf numFmtId="168" fontId="0" fillId="0" borderId="12" xfId="2" applyNumberFormat="1" applyFont="1" applyBorder="1"/>
    <xf numFmtId="0" fontId="0" fillId="5" borderId="0" xfId="0" applyFill="1"/>
    <xf numFmtId="0" fontId="10" fillId="0" borderId="0" xfId="0" applyFont="1"/>
    <xf numFmtId="0" fontId="10" fillId="0" borderId="0" xfId="0" applyFont="1" applyAlignment="1">
      <alignment wrapText="1"/>
    </xf>
    <xf numFmtId="168" fontId="10" fillId="0" borderId="0" xfId="2" applyNumberFormat="1" applyFont="1"/>
    <xf numFmtId="168" fontId="10" fillId="0" borderId="0" xfId="0" applyNumberFormat="1" applyFont="1"/>
    <xf numFmtId="164" fontId="3" fillId="0" borderId="0" xfId="0" applyNumberFormat="1" applyFont="1"/>
    <xf numFmtId="0" fontId="3" fillId="0" borderId="0" xfId="0" applyFont="1" applyAlignment="1">
      <alignment horizontal="center"/>
    </xf>
    <xf numFmtId="0" fontId="15" fillId="6" borderId="0" xfId="0" applyFont="1" applyFill="1" applyAlignment="1">
      <alignment vertical="top" wrapText="1"/>
    </xf>
    <xf numFmtId="0" fontId="16" fillId="6" borderId="0" xfId="0" applyFont="1" applyFill="1" applyAlignment="1">
      <alignment vertical="top" wrapText="1"/>
    </xf>
    <xf numFmtId="0" fontId="15" fillId="0" borderId="0" xfId="0" applyFont="1" applyAlignment="1">
      <alignment vertical="top" wrapText="1"/>
    </xf>
    <xf numFmtId="0" fontId="17" fillId="6" borderId="0" xfId="0" applyFont="1" applyFill="1" applyAlignment="1">
      <alignment vertical="top"/>
    </xf>
    <xf numFmtId="0" fontId="18" fillId="6" borderId="0" xfId="0" applyFont="1" applyFill="1" applyAlignment="1">
      <alignment horizontal="center" vertical="top" wrapText="1"/>
    </xf>
    <xf numFmtId="0" fontId="19" fillId="6" borderId="0" xfId="0" applyFont="1" applyFill="1" applyAlignment="1">
      <alignment vertical="top" wrapText="1"/>
    </xf>
    <xf numFmtId="0" fontId="19" fillId="0" borderId="0" xfId="0" applyFont="1" applyAlignment="1">
      <alignment vertical="top" wrapText="1"/>
    </xf>
    <xf numFmtId="0" fontId="19" fillId="9" borderId="1" xfId="0" applyFont="1" applyFill="1" applyBorder="1" applyAlignment="1">
      <alignment horizontal="center" vertical="top" wrapText="1"/>
    </xf>
    <xf numFmtId="0" fontId="15" fillId="10" borderId="1" xfId="0" applyFont="1" applyFill="1" applyBorder="1" applyAlignment="1">
      <alignment horizontal="left" vertical="top" wrapText="1"/>
    </xf>
    <xf numFmtId="0" fontId="15" fillId="10" borderId="1" xfId="0" quotePrefix="1" applyFont="1" applyFill="1" applyBorder="1" applyAlignment="1">
      <alignment horizontal="left" vertical="top" wrapText="1"/>
    </xf>
    <xf numFmtId="0" fontId="21" fillId="11" borderId="1" xfId="0" applyFont="1" applyFill="1" applyBorder="1" applyAlignment="1">
      <alignment horizontal="left" vertical="top" wrapText="1"/>
    </xf>
    <xf numFmtId="0" fontId="22" fillId="12" borderId="1" xfId="0" applyFont="1" applyFill="1" applyBorder="1" applyAlignment="1">
      <alignment horizontal="left" vertical="top" wrapText="1"/>
    </xf>
    <xf numFmtId="0" fontId="22" fillId="13" borderId="1" xfId="0" applyFont="1" applyFill="1" applyBorder="1" applyAlignment="1">
      <alignment horizontal="left" vertical="top" wrapText="1"/>
    </xf>
    <xf numFmtId="0" fontId="15" fillId="14" borderId="1" xfId="0" applyFont="1" applyFill="1" applyBorder="1" applyAlignment="1">
      <alignment horizontal="left" vertical="top" wrapText="1"/>
    </xf>
    <xf numFmtId="0" fontId="0" fillId="6" borderId="0" xfId="0" applyFill="1"/>
    <xf numFmtId="170" fontId="24" fillId="6" borderId="0" xfId="0" applyNumberFormat="1" applyFont="1" applyFill="1" applyAlignment="1">
      <alignment horizontal="center" vertical="top"/>
    </xf>
    <xf numFmtId="170" fontId="24" fillId="6" borderId="0" xfId="0" applyNumberFormat="1" applyFont="1" applyFill="1"/>
    <xf numFmtId="0" fontId="0" fillId="6" borderId="0" xfId="0" applyFill="1" applyAlignment="1">
      <alignment wrapText="1"/>
    </xf>
    <xf numFmtId="0" fontId="3" fillId="6" borderId="0" xfId="0" applyFont="1" applyFill="1"/>
    <xf numFmtId="170" fontId="25" fillId="6" borderId="0" xfId="0" applyNumberFormat="1" applyFont="1" applyFill="1" applyAlignment="1">
      <alignment horizontal="center" vertical="top"/>
    </xf>
    <xf numFmtId="170" fontId="25" fillId="6" borderId="0" xfId="0" applyNumberFormat="1" applyFont="1" applyFill="1"/>
    <xf numFmtId="0" fontId="26" fillId="6" borderId="0" xfId="0" applyFont="1" applyFill="1" applyAlignment="1">
      <alignment horizontal="center" wrapText="1"/>
    </xf>
    <xf numFmtId="0" fontId="13" fillId="15" borderId="0" xfId="0" applyFont="1" applyFill="1" applyAlignment="1">
      <alignment horizontal="center" vertical="top"/>
    </xf>
    <xf numFmtId="170" fontId="13" fillId="15" borderId="0" xfId="0" applyNumberFormat="1" applyFont="1" applyFill="1" applyAlignment="1">
      <alignment horizontal="center" vertical="top"/>
    </xf>
    <xf numFmtId="0" fontId="13" fillId="15" borderId="0" xfId="0" applyFont="1" applyFill="1" applyAlignment="1">
      <alignment horizontal="center" vertical="top" wrapText="1"/>
    </xf>
    <xf numFmtId="0" fontId="0" fillId="0" borderId="0" xfId="0" applyAlignment="1">
      <alignment vertical="top"/>
    </xf>
    <xf numFmtId="0" fontId="0" fillId="16" borderId="0" xfId="0" applyFill="1" applyAlignment="1">
      <alignment vertical="top"/>
    </xf>
    <xf numFmtId="170" fontId="24" fillId="16" borderId="0" xfId="0" applyNumberFormat="1" applyFont="1" applyFill="1" applyAlignment="1">
      <alignment horizontal="center" vertical="top"/>
    </xf>
    <xf numFmtId="170" fontId="24" fillId="16" borderId="0" xfId="0" applyNumberFormat="1" applyFont="1" applyFill="1" applyAlignment="1">
      <alignment vertical="top" wrapText="1"/>
    </xf>
    <xf numFmtId="0" fontId="0" fillId="16" borderId="0" xfId="0" applyFill="1" applyAlignment="1">
      <alignment vertical="top" wrapText="1"/>
    </xf>
    <xf numFmtId="0" fontId="23" fillId="0" borderId="0" xfId="4" applyAlignment="1">
      <alignment vertical="top"/>
    </xf>
    <xf numFmtId="0" fontId="0" fillId="17" borderId="0" xfId="0" applyFill="1" applyAlignment="1">
      <alignment vertical="top"/>
    </xf>
    <xf numFmtId="170" fontId="24" fillId="17" borderId="0" xfId="0" applyNumberFormat="1" applyFont="1" applyFill="1" applyAlignment="1">
      <alignment horizontal="center" vertical="top"/>
    </xf>
    <xf numFmtId="170" fontId="24" fillId="17" borderId="0" xfId="0" applyNumberFormat="1" applyFont="1" applyFill="1" applyAlignment="1">
      <alignment vertical="top"/>
    </xf>
    <xf numFmtId="0" fontId="0" fillId="17" borderId="0" xfId="0" applyFill="1" applyAlignment="1">
      <alignment vertical="top" wrapText="1"/>
    </xf>
    <xf numFmtId="0" fontId="2" fillId="17" borderId="0" xfId="0" applyFont="1" applyFill="1" applyAlignment="1">
      <alignment vertical="top" wrapText="1"/>
    </xf>
    <xf numFmtId="2" fontId="24" fillId="16" borderId="0" xfId="0" applyNumberFormat="1" applyFont="1" applyFill="1" applyAlignment="1">
      <alignment horizontal="center" vertical="top"/>
    </xf>
    <xf numFmtId="2" fontId="24" fillId="16" borderId="0" xfId="0" applyNumberFormat="1" applyFont="1" applyFill="1" applyAlignment="1">
      <alignment vertical="top"/>
    </xf>
    <xf numFmtId="0" fontId="14" fillId="15" borderId="0" xfId="0" applyFont="1" applyFill="1" applyAlignment="1">
      <alignment horizontal="center" vertical="top"/>
    </xf>
    <xf numFmtId="2" fontId="14" fillId="15" borderId="0" xfId="0" applyNumberFormat="1" applyFont="1" applyFill="1" applyAlignment="1">
      <alignment horizontal="center" vertical="top"/>
    </xf>
    <xf numFmtId="165" fontId="24" fillId="17" borderId="0" xfId="0" applyNumberFormat="1" applyFont="1" applyFill="1" applyAlignment="1">
      <alignment horizontal="center" vertical="top"/>
    </xf>
    <xf numFmtId="10" fontId="24" fillId="17" borderId="0" xfId="0" applyNumberFormat="1" applyFont="1" applyFill="1" applyAlignment="1">
      <alignment vertical="top"/>
    </xf>
    <xf numFmtId="0" fontId="23" fillId="17" borderId="0" xfId="4" applyFill="1" applyAlignment="1">
      <alignment vertical="top" wrapText="1"/>
    </xf>
    <xf numFmtId="171" fontId="24" fillId="17" borderId="0" xfId="0" applyNumberFormat="1" applyFont="1" applyFill="1" applyAlignment="1">
      <alignment horizontal="center" vertical="top"/>
    </xf>
    <xf numFmtId="171" fontId="24" fillId="17" borderId="0" xfId="0" applyNumberFormat="1" applyFont="1" applyFill="1" applyAlignment="1">
      <alignment vertical="top"/>
    </xf>
    <xf numFmtId="0" fontId="0" fillId="0" borderId="0" xfId="0" applyAlignment="1">
      <alignment vertical="top" wrapText="1"/>
    </xf>
    <xf numFmtId="172" fontId="24" fillId="16" borderId="0" xfId="0" applyNumberFormat="1" applyFont="1" applyFill="1" applyAlignment="1">
      <alignment horizontal="center" vertical="top"/>
    </xf>
    <xf numFmtId="172" fontId="24" fillId="16" borderId="0" xfId="0" applyNumberFormat="1" applyFont="1" applyFill="1" applyAlignment="1">
      <alignment vertical="top"/>
    </xf>
    <xf numFmtId="0" fontId="24" fillId="16" borderId="0" xfId="0" applyFont="1" applyFill="1" applyAlignment="1">
      <alignment vertical="top" wrapText="1"/>
    </xf>
    <xf numFmtId="170" fontId="24" fillId="16" borderId="0" xfId="0" applyNumberFormat="1" applyFont="1" applyFill="1" applyAlignment="1">
      <alignment vertical="top"/>
    </xf>
    <xf numFmtId="172" fontId="24" fillId="17" borderId="0" xfId="0" applyNumberFormat="1" applyFont="1" applyFill="1" applyAlignment="1">
      <alignment horizontal="center" vertical="top"/>
    </xf>
    <xf numFmtId="172" fontId="24" fillId="17" borderId="0" xfId="0" applyNumberFormat="1" applyFont="1" applyFill="1" applyAlignment="1">
      <alignment vertical="top"/>
    </xf>
    <xf numFmtId="6" fontId="0" fillId="0" borderId="0" xfId="0" applyNumberFormat="1" applyAlignment="1">
      <alignment vertical="top"/>
    </xf>
    <xf numFmtId="170" fontId="24" fillId="0" borderId="0" xfId="0" applyNumberFormat="1" applyFont="1" applyAlignment="1">
      <alignment horizontal="center" vertical="top"/>
    </xf>
    <xf numFmtId="170" fontId="24" fillId="0" borderId="0" xfId="0" applyNumberFormat="1" applyFont="1"/>
    <xf numFmtId="0" fontId="0" fillId="0" borderId="0" xfId="0" applyAlignment="1">
      <alignment horizontal="left"/>
    </xf>
    <xf numFmtId="0" fontId="0" fillId="0" borderId="0" xfId="0" applyAlignment="1">
      <alignment horizontal="center"/>
    </xf>
    <xf numFmtId="0" fontId="27" fillId="18" borderId="0" xfId="0" applyFont="1" applyFill="1" applyAlignment="1">
      <alignment horizontal="center" vertical="center"/>
    </xf>
    <xf numFmtId="0" fontId="27" fillId="18" borderId="0" xfId="0" applyFont="1" applyFill="1" applyAlignment="1">
      <alignment horizontal="center" vertical="center" wrapText="1"/>
    </xf>
    <xf numFmtId="0" fontId="4" fillId="0" borderId="0" xfId="0" applyFont="1" applyAlignment="1">
      <alignment horizontal="center"/>
    </xf>
    <xf numFmtId="0" fontId="28" fillId="0" borderId="0" xfId="0" applyFont="1" applyAlignment="1">
      <alignment vertical="center"/>
    </xf>
    <xf numFmtId="173" fontId="28" fillId="0" borderId="0" xfId="0" applyNumberFormat="1" applyFont="1" applyAlignment="1">
      <alignment horizontal="right" vertical="center"/>
    </xf>
    <xf numFmtId="0" fontId="4" fillId="0" borderId="0" xfId="0" applyFont="1"/>
    <xf numFmtId="3" fontId="4" fillId="0" borderId="0" xfId="0" applyNumberFormat="1" applyFont="1"/>
    <xf numFmtId="174" fontId="4" fillId="0" borderId="0" xfId="0" applyNumberFormat="1" applyFont="1"/>
    <xf numFmtId="1" fontId="4" fillId="0" borderId="0" xfId="0" applyNumberFormat="1" applyFont="1" applyAlignment="1">
      <alignment horizontal="center"/>
    </xf>
    <xf numFmtId="0" fontId="29" fillId="19" borderId="0" xfId="0" applyFont="1" applyFill="1" applyAlignment="1">
      <alignment vertical="center"/>
    </xf>
    <xf numFmtId="0" fontId="29" fillId="20" borderId="0" xfId="0" applyFont="1" applyFill="1" applyAlignment="1">
      <alignment vertical="center"/>
    </xf>
    <xf numFmtId="0" fontId="4" fillId="0" borderId="0" xfId="0" applyFont="1" applyAlignment="1">
      <alignment horizontal="left"/>
    </xf>
    <xf numFmtId="172" fontId="4" fillId="0" borderId="0" xfId="0" applyNumberFormat="1" applyFont="1"/>
    <xf numFmtId="0" fontId="4" fillId="0" borderId="0" xfId="0" applyFont="1" applyAlignment="1">
      <alignment horizontal="right"/>
    </xf>
    <xf numFmtId="174" fontId="30" fillId="0" borderId="0" xfId="0" applyNumberFormat="1" applyFont="1" applyAlignment="1">
      <alignment horizontal="center"/>
    </xf>
    <xf numFmtId="174" fontId="31" fillId="0" borderId="0" xfId="0" applyNumberFormat="1" applyFont="1" applyAlignment="1">
      <alignment horizontal="center"/>
    </xf>
    <xf numFmtId="172" fontId="0" fillId="0" borderId="0" xfId="0" applyNumberFormat="1"/>
    <xf numFmtId="170" fontId="4" fillId="0" borderId="0" xfId="0" applyNumberFormat="1" applyFont="1"/>
    <xf numFmtId="170" fontId="0" fillId="0" borderId="0" xfId="0" applyNumberFormat="1"/>
    <xf numFmtId="0" fontId="0" fillId="0" borderId="0" xfId="0" applyAlignment="1">
      <alignment horizontal="right"/>
    </xf>
    <xf numFmtId="174" fontId="4" fillId="0" borderId="0" xfId="0" applyNumberFormat="1" applyFont="1" applyAlignment="1">
      <alignment horizontal="left"/>
    </xf>
    <xf numFmtId="9" fontId="4" fillId="0" borderId="0" xfId="3" applyFont="1" applyFill="1" applyBorder="1" applyAlignment="1">
      <alignment horizontal="center"/>
    </xf>
    <xf numFmtId="170" fontId="2" fillId="0" borderId="0" xfId="0" applyNumberFormat="1" applyFont="1"/>
    <xf numFmtId="174" fontId="3" fillId="0" borderId="0" xfId="0" applyNumberFormat="1" applyFont="1"/>
    <xf numFmtId="43" fontId="0" fillId="0" borderId="0" xfId="1" applyFont="1" applyAlignment="1"/>
    <xf numFmtId="174" fontId="3" fillId="0" borderId="0" xfId="0" applyNumberFormat="1" applyFont="1" applyAlignment="1">
      <alignment horizontal="center"/>
    </xf>
    <xf numFmtId="174" fontId="0" fillId="0" borderId="0" xfId="0" applyNumberFormat="1" applyAlignment="1">
      <alignment horizontal="left"/>
    </xf>
    <xf numFmtId="0" fontId="32" fillId="0" borderId="0" xfId="0" applyFont="1" applyAlignment="1">
      <alignment horizontal="right" vertical="center"/>
    </xf>
    <xf numFmtId="2" fontId="3" fillId="0" borderId="0" xfId="0" applyNumberFormat="1" applyFont="1" applyAlignment="1">
      <alignment horizontal="center"/>
    </xf>
    <xf numFmtId="2" fontId="3" fillId="0" borderId="0" xfId="0" applyNumberFormat="1" applyFont="1"/>
    <xf numFmtId="173" fontId="0" fillId="0" borderId="0" xfId="0" applyNumberFormat="1"/>
    <xf numFmtId="174" fontId="0" fillId="0" borderId="0" xfId="0" applyNumberFormat="1"/>
    <xf numFmtId="0" fontId="3" fillId="0" borderId="0" xfId="0" applyFont="1" applyAlignment="1">
      <alignment horizontal="left"/>
    </xf>
    <xf numFmtId="172" fontId="3" fillId="0" borderId="0" xfId="0" applyNumberFormat="1" applyFont="1"/>
    <xf numFmtId="172" fontId="3" fillId="0" borderId="0" xfId="0" applyNumberFormat="1" applyFont="1" applyAlignment="1">
      <alignment horizontal="left"/>
    </xf>
    <xf numFmtId="0" fontId="33" fillId="0" borderId="0" xfId="0" applyFont="1" applyAlignment="1">
      <alignment horizontal="center" vertical="center"/>
    </xf>
    <xf numFmtId="0" fontId="34" fillId="0" borderId="0" xfId="0" applyFont="1"/>
    <xf numFmtId="172" fontId="24" fillId="17" borderId="0" xfId="0" applyNumberFormat="1" applyFont="1" applyFill="1" applyAlignment="1">
      <alignment vertical="top" wrapText="1"/>
    </xf>
    <xf numFmtId="9" fontId="0" fillId="0" borderId="0" xfId="3" applyFont="1"/>
    <xf numFmtId="0" fontId="31" fillId="0" borderId="1" xfId="0" applyFont="1" applyBorder="1"/>
    <xf numFmtId="0" fontId="0" fillId="0" borderId="1" xfId="0" applyBorder="1"/>
    <xf numFmtId="0" fontId="11" fillId="5" borderId="0" xfId="0" applyFont="1" applyFill="1" applyAlignment="1">
      <alignment wrapText="1"/>
    </xf>
    <xf numFmtId="0" fontId="10" fillId="0" borderId="0" xfId="0" applyFont="1" applyAlignment="1">
      <alignment vertical="center"/>
    </xf>
    <xf numFmtId="0" fontId="36" fillId="0" borderId="0" xfId="0" applyFont="1" applyAlignment="1">
      <alignment vertical="center"/>
    </xf>
    <xf numFmtId="0" fontId="11" fillId="0" borderId="0" xfId="0" applyFont="1" applyAlignment="1">
      <alignment horizontal="left" vertical="center" indent="1"/>
    </xf>
    <xf numFmtId="165" fontId="3" fillId="17" borderId="1" xfId="3" applyNumberFormat="1" applyFont="1" applyFill="1" applyBorder="1" applyAlignment="1">
      <alignment horizontal="center"/>
    </xf>
    <xf numFmtId="0" fontId="3" fillId="17" borderId="1" xfId="0" applyFont="1" applyFill="1" applyBorder="1" applyAlignment="1">
      <alignment horizontal="center" wrapText="1"/>
    </xf>
    <xf numFmtId="0" fontId="3" fillId="21" borderId="1" xfId="0" applyFont="1" applyFill="1" applyBorder="1" applyAlignment="1">
      <alignment horizontal="center"/>
    </xf>
    <xf numFmtId="0" fontId="0" fillId="21" borderId="1" xfId="0" applyFill="1" applyBorder="1" applyAlignment="1">
      <alignment horizontal="center" wrapText="1"/>
    </xf>
    <xf numFmtId="0" fontId="3" fillId="0" borderId="15" xfId="0" applyFont="1" applyBorder="1" applyAlignment="1">
      <alignment horizontal="center"/>
    </xf>
    <xf numFmtId="44" fontId="0" fillId="0" borderId="0" xfId="0" applyNumberFormat="1"/>
    <xf numFmtId="2" fontId="0" fillId="17" borderId="1" xfId="0" applyNumberFormat="1" applyFont="1" applyFill="1" applyBorder="1" applyAlignment="1">
      <alignment horizontal="center" wrapText="1"/>
    </xf>
    <xf numFmtId="0" fontId="3" fillId="21" borderId="1" xfId="0" applyFont="1" applyFill="1" applyBorder="1" applyAlignment="1">
      <alignment horizontal="center" wrapText="1"/>
    </xf>
    <xf numFmtId="6" fontId="28" fillId="0" borderId="0" xfId="0" applyNumberFormat="1" applyFont="1" applyAlignment="1">
      <alignment horizontal="right" vertical="center"/>
    </xf>
    <xf numFmtId="6" fontId="29" fillId="19" borderId="0" xfId="0" applyNumberFormat="1" applyFont="1" applyFill="1" applyAlignment="1">
      <alignment horizontal="right" vertical="center"/>
    </xf>
    <xf numFmtId="6" fontId="29" fillId="20" borderId="0" xfId="0" applyNumberFormat="1" applyFont="1" applyFill="1" applyAlignment="1">
      <alignment horizontal="right" vertical="center"/>
    </xf>
    <xf numFmtId="0" fontId="3" fillId="3" borderId="1" xfId="0" applyFont="1" applyFill="1" applyBorder="1" applyAlignment="1">
      <alignment horizontal="center"/>
    </xf>
    <xf numFmtId="0" fontId="3" fillId="22" borderId="1" xfId="0" applyFont="1" applyFill="1" applyBorder="1" applyAlignment="1">
      <alignment horizontal="center"/>
    </xf>
    <xf numFmtId="6" fontId="0" fillId="0" borderId="0" xfId="0" applyNumberFormat="1"/>
    <xf numFmtId="0" fontId="15" fillId="23" borderId="1" xfId="0" applyFont="1" applyFill="1" applyBorder="1" applyAlignment="1">
      <alignment horizontal="left" vertical="top" wrapText="1"/>
    </xf>
    <xf numFmtId="0" fontId="15" fillId="14" borderId="1" xfId="0" applyFont="1" applyFill="1" applyBorder="1" applyAlignment="1">
      <alignment horizontal="left" vertical="top"/>
    </xf>
    <xf numFmtId="0" fontId="13" fillId="24" borderId="1" xfId="0" applyFont="1" applyFill="1" applyBorder="1" applyAlignment="1">
      <alignment horizontal="center" vertical="center"/>
    </xf>
    <xf numFmtId="0" fontId="13" fillId="24"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center"/>
    </xf>
    <xf numFmtId="0" fontId="3" fillId="0" borderId="1" xfId="0" applyFont="1" applyBorder="1" applyAlignment="1">
      <alignment horizontal="left" vertical="center"/>
    </xf>
    <xf numFmtId="0" fontId="0" fillId="0" borderId="0" xfId="0" applyAlignment="1">
      <alignment horizontal="left" vertical="center"/>
    </xf>
    <xf numFmtId="0" fontId="34" fillId="0" borderId="0" xfId="0" applyFont="1" applyAlignment="1">
      <alignment horizontal="center" vertical="center"/>
    </xf>
    <xf numFmtId="0" fontId="37" fillId="0" borderId="0" xfId="0" applyFont="1"/>
    <xf numFmtId="0" fontId="37" fillId="0" borderId="0" xfId="0" applyFont="1" applyAlignment="1">
      <alignment horizontal="center" vertical="center"/>
    </xf>
    <xf numFmtId="0" fontId="35" fillId="0" borderId="0" xfId="0" applyFont="1"/>
    <xf numFmtId="44" fontId="3" fillId="0" borderId="0" xfId="2" applyFont="1"/>
    <xf numFmtId="0" fontId="0" fillId="6" borderId="15" xfId="0" applyFill="1" applyBorder="1"/>
    <xf numFmtId="0" fontId="0" fillId="6" borderId="22" xfId="0" applyFill="1" applyBorder="1"/>
    <xf numFmtId="0" fontId="34" fillId="6" borderId="15" xfId="0" applyFont="1" applyFill="1" applyBorder="1"/>
    <xf numFmtId="0" fontId="34" fillId="6" borderId="0" xfId="0" applyFont="1" applyFill="1"/>
    <xf numFmtId="0" fontId="34" fillId="6" borderId="22" xfId="0" applyFont="1" applyFill="1" applyBorder="1"/>
    <xf numFmtId="0" fontId="38" fillId="6" borderId="15" xfId="0" applyFont="1" applyFill="1" applyBorder="1" applyAlignment="1">
      <alignment vertical="center"/>
    </xf>
    <xf numFmtId="0" fontId="39" fillId="6" borderId="0" xfId="0" applyFont="1" applyFill="1" applyAlignment="1">
      <alignment horizontal="left" vertical="center" indent="5"/>
    </xf>
    <xf numFmtId="0" fontId="40" fillId="6" borderId="0" xfId="0" applyFont="1" applyFill="1" applyAlignment="1">
      <alignment horizontal="justify" vertical="center"/>
    </xf>
    <xf numFmtId="0" fontId="11" fillId="0" borderId="0" xfId="0" applyFont="1"/>
    <xf numFmtId="9" fontId="0" fillId="0" borderId="0" xfId="3" applyNumberFormat="1" applyFont="1"/>
    <xf numFmtId="170" fontId="24" fillId="16" borderId="0" xfId="0" applyNumberFormat="1" applyFont="1" applyFill="1" applyAlignment="1">
      <alignment vertical="top" wrapText="1"/>
    </xf>
    <xf numFmtId="170" fontId="24" fillId="16" borderId="0" xfId="0" applyNumberFormat="1" applyFont="1" applyFill="1" applyAlignment="1">
      <alignment horizontal="center" vertical="top"/>
    </xf>
    <xf numFmtId="0" fontId="0" fillId="0" borderId="0" xfId="0"/>
    <xf numFmtId="0" fontId="0" fillId="0" borderId="0" xfId="0" applyAlignment="1">
      <alignment horizontal="center"/>
    </xf>
    <xf numFmtId="168" fontId="0" fillId="0" borderId="0" xfId="2" applyNumberFormat="1" applyFont="1"/>
    <xf numFmtId="9" fontId="0" fillId="0" borderId="0" xfId="3" applyFont="1"/>
    <xf numFmtId="0" fontId="19" fillId="0" borderId="0" xfId="0" applyFont="1" applyAlignment="1">
      <alignment vertical="top" wrapText="1"/>
    </xf>
    <xf numFmtId="0" fontId="0" fillId="0" borderId="0" xfId="0" applyAlignment="1">
      <alignment vertical="top"/>
    </xf>
    <xf numFmtId="0" fontId="0" fillId="16" borderId="0" xfId="0" applyFill="1" applyAlignment="1">
      <alignment vertical="top" wrapText="1"/>
    </xf>
    <xf numFmtId="0" fontId="17" fillId="6" borderId="0" xfId="0" applyFont="1" applyFill="1" applyAlignment="1">
      <alignment vertical="top"/>
    </xf>
    <xf numFmtId="0" fontId="19" fillId="6" borderId="0" xfId="0" applyFont="1" applyFill="1" applyAlignment="1">
      <alignment vertical="top" wrapText="1"/>
    </xf>
    <xf numFmtId="0" fontId="23" fillId="16" borderId="0" xfId="4" applyFill="1" applyAlignment="1">
      <alignment vertical="top" wrapText="1"/>
    </xf>
    <xf numFmtId="164" fontId="0" fillId="0" borderId="0" xfId="0" applyNumberFormat="1"/>
    <xf numFmtId="0" fontId="0" fillId="0" borderId="1" xfId="0" applyBorder="1" applyAlignment="1">
      <alignment horizontal="center"/>
    </xf>
    <xf numFmtId="9" fontId="0" fillId="0" borderId="1" xfId="3" applyFont="1" applyBorder="1" applyAlignment="1">
      <alignment horizontal="center"/>
    </xf>
    <xf numFmtId="168" fontId="0" fillId="0" borderId="1" xfId="2" applyNumberFormat="1" applyFont="1" applyBorder="1" applyAlignment="1">
      <alignment horizontal="center"/>
    </xf>
    <xf numFmtId="6" fontId="0" fillId="0" borderId="1" xfId="0" applyNumberFormat="1" applyBorder="1" applyAlignment="1">
      <alignment horizontal="center"/>
    </xf>
    <xf numFmtId="175" fontId="0" fillId="0" borderId="1" xfId="1" applyNumberFormat="1" applyFont="1" applyBorder="1" applyAlignment="1">
      <alignment horizontal="center"/>
    </xf>
    <xf numFmtId="168" fontId="0" fillId="0" borderId="1" xfId="0" applyNumberFormat="1" applyBorder="1" applyAlignment="1">
      <alignment horizontal="center"/>
    </xf>
    <xf numFmtId="175" fontId="35" fillId="0" borderId="1" xfId="1" applyNumberFormat="1" applyFont="1" applyBorder="1" applyAlignment="1">
      <alignment horizontal="center"/>
    </xf>
    <xf numFmtId="6" fontId="4" fillId="0" borderId="0" xfId="0" applyNumberFormat="1" applyFont="1" applyAlignment="1">
      <alignment horizontal="center"/>
    </xf>
    <xf numFmtId="0" fontId="42" fillId="0" borderId="0" xfId="0" applyFont="1"/>
    <xf numFmtId="165" fontId="42" fillId="0" borderId="0" xfId="3" applyNumberFormat="1" applyFont="1"/>
    <xf numFmtId="0" fontId="15" fillId="10" borderId="1" xfId="0" applyFont="1" applyFill="1" applyBorder="1" applyAlignment="1">
      <alignment horizontal="left" vertical="top" wrapText="1"/>
    </xf>
    <xf numFmtId="0" fontId="3" fillId="21" borderId="1" xfId="0" applyFont="1" applyFill="1" applyBorder="1" applyAlignment="1">
      <alignment horizontal="center" wrapText="1"/>
    </xf>
    <xf numFmtId="0" fontId="3" fillId="21" borderId="1" xfId="0" applyFont="1" applyFill="1" applyBorder="1" applyAlignment="1">
      <alignment horizontal="center"/>
    </xf>
    <xf numFmtId="0" fontId="0" fillId="0" borderId="0" xfId="0" applyAlignment="1">
      <alignment horizontal="center"/>
    </xf>
    <xf numFmtId="168" fontId="11" fillId="0" borderId="0" xfId="0" applyNumberFormat="1" applyFont="1"/>
    <xf numFmtId="170" fontId="10" fillId="0" borderId="0" xfId="0" applyNumberFormat="1" applyFont="1"/>
    <xf numFmtId="44" fontId="10" fillId="0" borderId="0" xfId="2" applyFont="1" applyFill="1"/>
    <xf numFmtId="0" fontId="0" fillId="25" borderId="1" xfId="0" applyFill="1" applyBorder="1" applyAlignment="1">
      <alignment horizontal="center" wrapText="1"/>
    </xf>
    <xf numFmtId="0" fontId="3" fillId="25" borderId="0" xfId="0" applyFont="1" applyFill="1" applyAlignment="1">
      <alignment horizontal="center"/>
    </xf>
    <xf numFmtId="0" fontId="23" fillId="0" borderId="0" xfId="4"/>
    <xf numFmtId="0" fontId="10" fillId="0" borderId="0" xfId="0" applyFont="1" applyAlignment="1"/>
    <xf numFmtId="0" fontId="0" fillId="22" borderId="1" xfId="0" applyFill="1" applyBorder="1" applyAlignment="1">
      <alignment horizontal="center" wrapText="1"/>
    </xf>
    <xf numFmtId="0" fontId="0" fillId="3" borderId="1" xfId="0" applyFill="1" applyBorder="1" applyAlignment="1">
      <alignment horizontal="center" wrapText="1"/>
    </xf>
    <xf numFmtId="172" fontId="0" fillId="21" borderId="1" xfId="2" applyNumberFormat="1" applyFont="1" applyFill="1" applyBorder="1" applyAlignment="1">
      <alignment wrapText="1"/>
    </xf>
    <xf numFmtId="172" fontId="0" fillId="25" borderId="1" xfId="2" applyNumberFormat="1" applyFont="1" applyFill="1" applyBorder="1" applyAlignment="1">
      <alignment wrapText="1"/>
    </xf>
    <xf numFmtId="172" fontId="0" fillId="22" borderId="1" xfId="2" applyNumberFormat="1" applyFont="1" applyFill="1" applyBorder="1" applyAlignment="1">
      <alignment wrapText="1"/>
    </xf>
    <xf numFmtId="172" fontId="24" fillId="21" borderId="1" xfId="0" applyNumberFormat="1" applyFont="1" applyFill="1" applyBorder="1"/>
    <xf numFmtId="172" fontId="0" fillId="21" borderId="1" xfId="0" applyNumberFormat="1" applyFill="1" applyBorder="1"/>
    <xf numFmtId="172" fontId="0" fillId="25" borderId="1" xfId="0" applyNumberFormat="1" applyFill="1" applyBorder="1"/>
    <xf numFmtId="172" fontId="0" fillId="25" borderId="1" xfId="2" applyNumberFormat="1" applyFont="1" applyFill="1" applyBorder="1"/>
    <xf numFmtId="0" fontId="3" fillId="21" borderId="1" xfId="0" applyFont="1" applyFill="1" applyBorder="1" applyAlignment="1">
      <alignment horizontal="center"/>
    </xf>
    <xf numFmtId="0" fontId="3" fillId="21" borderId="1" xfId="0" applyFont="1" applyFill="1" applyBorder="1" applyAlignment="1">
      <alignment horizontal="center" wrapText="1"/>
    </xf>
    <xf numFmtId="0" fontId="3" fillId="21" borderId="1" xfId="0" applyFont="1" applyFill="1" applyBorder="1" applyAlignment="1">
      <alignment horizontal="center"/>
    </xf>
    <xf numFmtId="0" fontId="0" fillId="0" borderId="0" xfId="0" applyAlignment="1">
      <alignment horizontal="center"/>
    </xf>
    <xf numFmtId="169" fontId="22" fillId="0" borderId="8" xfId="9" applyNumberFormat="1" applyBorder="1"/>
    <xf numFmtId="169" fontId="22" fillId="0" borderId="9" xfId="9" applyNumberFormat="1" applyBorder="1"/>
    <xf numFmtId="169" fontId="22" fillId="0" borderId="11" xfId="9" applyNumberFormat="1" applyBorder="1"/>
    <xf numFmtId="169" fontId="22" fillId="0" borderId="10" xfId="9" applyNumberFormat="1" applyBorder="1"/>
    <xf numFmtId="169" fontId="22" fillId="0" borderId="13" xfId="9" applyNumberFormat="1" applyBorder="1"/>
    <xf numFmtId="169" fontId="22" fillId="0" borderId="14" xfId="9" applyNumberFormat="1" applyBorder="1"/>
    <xf numFmtId="0" fontId="44" fillId="0" borderId="0" xfId="9" applyFont="1"/>
    <xf numFmtId="0" fontId="22" fillId="0" borderId="0" xfId="9"/>
    <xf numFmtId="165" fontId="0" fillId="0" borderId="0" xfId="0" applyNumberFormat="1"/>
    <xf numFmtId="0" fontId="3" fillId="23" borderId="0" xfId="0" applyFont="1" applyFill="1" applyAlignment="1">
      <alignment horizontal="center"/>
    </xf>
    <xf numFmtId="0" fontId="45" fillId="0" borderId="0" xfId="0" applyFont="1" applyAlignment="1">
      <alignment horizontal="left" vertical="center" indent="5"/>
    </xf>
    <xf numFmtId="168" fontId="0" fillId="6" borderId="0" xfId="2" applyNumberFormat="1" applyFont="1" applyFill="1"/>
    <xf numFmtId="164" fontId="0" fillId="6" borderId="0" xfId="0" applyNumberFormat="1" applyFill="1"/>
    <xf numFmtId="10" fontId="24" fillId="17" borderId="0" xfId="0" applyNumberFormat="1" applyFont="1" applyFill="1" applyAlignment="1">
      <alignment vertical="top" wrapText="1"/>
    </xf>
    <xf numFmtId="0" fontId="23" fillId="0" borderId="0" xfId="4" applyFill="1" applyAlignment="1">
      <alignment wrapText="1"/>
    </xf>
    <xf numFmtId="9" fontId="0" fillId="6" borderId="0" xfId="3" applyNumberFormat="1" applyFont="1" applyFill="1"/>
    <xf numFmtId="0" fontId="46" fillId="0" borderId="0" xfId="0" applyFont="1" applyAlignment="1">
      <alignment horizontal="left" vertical="center" indent="10"/>
    </xf>
    <xf numFmtId="168" fontId="10" fillId="0" borderId="0" xfId="0" applyNumberFormat="1" applyFont="1" applyFill="1"/>
    <xf numFmtId="0" fontId="0" fillId="0" borderId="0" xfId="0" applyFill="1"/>
    <xf numFmtId="168" fontId="11" fillId="0" borderId="0" xfId="2" applyNumberFormat="1" applyFont="1"/>
    <xf numFmtId="0" fontId="3" fillId="0" borderId="0" xfId="0" applyFont="1" applyAlignment="1">
      <alignment horizontal="center"/>
    </xf>
    <xf numFmtId="0" fontId="0" fillId="0" borderId="0" xfId="0" applyAlignment="1">
      <alignment horizontal="center"/>
    </xf>
    <xf numFmtId="15" fontId="17" fillId="6" borderId="0" xfId="0" quotePrefix="1" applyNumberFormat="1" applyFont="1" applyFill="1" applyAlignment="1">
      <alignment horizontal="left" vertical="top"/>
    </xf>
    <xf numFmtId="173" fontId="4" fillId="0" borderId="0" xfId="0" applyNumberFormat="1" applyFont="1" applyAlignment="1">
      <alignment horizontal="center"/>
    </xf>
    <xf numFmtId="7" fontId="0" fillId="25" borderId="0" xfId="2" applyNumberFormat="1" applyFont="1" applyFill="1" applyAlignment="1">
      <alignment horizontal="center" vertical="center"/>
    </xf>
    <xf numFmtId="0" fontId="3" fillId="9" borderId="0" xfId="0" applyFont="1" applyFill="1" applyAlignment="1">
      <alignment horizontal="center"/>
    </xf>
    <xf numFmtId="0" fontId="3" fillId="9" borderId="0" xfId="0" applyFont="1" applyFill="1" applyAlignment="1">
      <alignment horizontal="center" vertical="center"/>
    </xf>
    <xf numFmtId="0" fontId="0" fillId="6" borderId="0" xfId="0" applyFill="1" applyAlignment="1">
      <alignment horizontal="center"/>
    </xf>
    <xf numFmtId="0" fontId="0" fillId="6" borderId="0" xfId="0" applyFill="1" applyAlignment="1">
      <alignment horizontal="center" vertical="center"/>
    </xf>
    <xf numFmtId="0" fontId="0" fillId="6" borderId="0" xfId="0" applyFill="1" applyAlignment="1">
      <alignment horizontal="center" vertical="center" wrapText="1"/>
    </xf>
    <xf numFmtId="9" fontId="0" fillId="0" borderId="0" xfId="3" applyNumberFormat="1" applyFont="1" applyAlignment="1">
      <alignment vertical="center"/>
    </xf>
    <xf numFmtId="0" fontId="35" fillId="0" borderId="0" xfId="0" applyFont="1" applyAlignment="1">
      <alignment horizontal="center"/>
    </xf>
    <xf numFmtId="0" fontId="35" fillId="0" borderId="0" xfId="0" applyFont="1" applyAlignment="1">
      <alignment horizontal="center" vertical="center"/>
    </xf>
    <xf numFmtId="0" fontId="3" fillId="0" borderId="0" xfId="0" applyFont="1" applyAlignment="1">
      <alignment horizontal="center" vertical="center"/>
    </xf>
    <xf numFmtId="1" fontId="0" fillId="0" borderId="0" xfId="0" applyNumberFormat="1" applyAlignment="1">
      <alignment horizontal="center" vertical="center"/>
    </xf>
    <xf numFmtId="2" fontId="3" fillId="17" borderId="1" xfId="0" applyNumberFormat="1" applyFont="1" applyFill="1" applyBorder="1" applyAlignment="1">
      <alignment horizontal="center" wrapText="1"/>
    </xf>
    <xf numFmtId="3" fontId="0" fillId="6" borderId="0" xfId="0" applyNumberFormat="1" applyFill="1"/>
    <xf numFmtId="0" fontId="3" fillId="0" borderId="0" xfId="0" applyFont="1" applyFill="1" applyAlignment="1">
      <alignment horizontal="center"/>
    </xf>
    <xf numFmtId="0" fontId="0" fillId="0" borderId="0" xfId="0" applyAlignment="1">
      <alignment horizontal="center" vertical="center" wrapText="1"/>
    </xf>
    <xf numFmtId="0" fontId="0" fillId="0" borderId="0" xfId="0" applyBorder="1"/>
    <xf numFmtId="0" fontId="0" fillId="0" borderId="0" xfId="0" applyFont="1"/>
    <xf numFmtId="9" fontId="0" fillId="0" borderId="0" xfId="3" applyFont="1" applyAlignment="1">
      <alignment horizontal="center" vertical="center"/>
    </xf>
    <xf numFmtId="167" fontId="0" fillId="0" borderId="0" xfId="3" applyNumberFormat="1" applyFont="1" applyAlignment="1">
      <alignment horizontal="center" vertical="center"/>
    </xf>
    <xf numFmtId="0" fontId="0" fillId="6" borderId="0" xfId="0" applyFill="1" applyAlignment="1">
      <alignment vertical="center"/>
    </xf>
    <xf numFmtId="0" fontId="17" fillId="6" borderId="0" xfId="0" applyFont="1" applyFill="1" applyAlignment="1">
      <alignment vertical="center"/>
    </xf>
    <xf numFmtId="9" fontId="0" fillId="6" borderId="0" xfId="3" applyFont="1" applyFill="1" applyAlignment="1">
      <alignment vertical="center"/>
    </xf>
    <xf numFmtId="0" fontId="3" fillId="0" borderId="0" xfId="0" applyFont="1" applyAlignment="1">
      <alignment horizontal="center" vertical="center" wrapText="1"/>
    </xf>
    <xf numFmtId="0" fontId="3" fillId="0" borderId="0" xfId="0" applyFont="1" applyFill="1"/>
    <xf numFmtId="0" fontId="35" fillId="0" borderId="0" xfId="0" applyFont="1" applyFill="1" applyAlignment="1">
      <alignment horizontal="center" vertical="center"/>
    </xf>
    <xf numFmtId="0" fontId="3" fillId="0" borderId="0" xfId="0" applyFont="1" applyFill="1" applyAlignment="1">
      <alignment horizontal="center" vertical="center"/>
    </xf>
    <xf numFmtId="1" fontId="0" fillId="0" borderId="0" xfId="0" applyNumberFormat="1" applyFill="1"/>
    <xf numFmtId="1" fontId="0" fillId="0" borderId="0" xfId="0" applyNumberFormat="1" applyFill="1" applyAlignment="1">
      <alignment horizontal="center" vertical="center"/>
    </xf>
    <xf numFmtId="167" fontId="0" fillId="0" borderId="0" xfId="3" applyNumberFormat="1" applyFont="1" applyFill="1" applyAlignment="1">
      <alignment horizontal="center" vertical="center"/>
    </xf>
    <xf numFmtId="3" fontId="0" fillId="0" borderId="0" xfId="0" applyNumberFormat="1" applyAlignment="1">
      <alignment horizontal="center" vertical="center"/>
    </xf>
    <xf numFmtId="0" fontId="12" fillId="0" borderId="0" xfId="0" applyFont="1" applyAlignment="1">
      <alignment horizontal="center" vertical="center"/>
    </xf>
    <xf numFmtId="0" fontId="3" fillId="9" borderId="0" xfId="0" applyFont="1" applyFill="1" applyAlignment="1">
      <alignment horizontal="center" vertical="center" wrapText="1"/>
    </xf>
    <xf numFmtId="164" fontId="0" fillId="6" borderId="0" xfId="1" applyNumberFormat="1" applyFont="1" applyFill="1" applyAlignment="1">
      <alignment horizontal="center" vertical="center"/>
    </xf>
    <xf numFmtId="168" fontId="0" fillId="6" borderId="0" xfId="2" applyNumberFormat="1" applyFont="1" applyFill="1" applyAlignment="1">
      <alignment horizontal="center" vertical="center"/>
    </xf>
    <xf numFmtId="0" fontId="12" fillId="6" borderId="0" xfId="0" applyFont="1" applyFill="1" applyAlignment="1">
      <alignment horizontal="center" vertical="center"/>
    </xf>
    <xf numFmtId="167" fontId="0" fillId="6" borderId="0" xfId="3" applyNumberFormat="1" applyFont="1" applyFill="1" applyAlignment="1">
      <alignment horizontal="center" vertical="center"/>
    </xf>
    <xf numFmtId="10" fontId="0" fillId="6" borderId="0" xfId="3" applyNumberFormat="1" applyFont="1" applyFill="1" applyAlignment="1">
      <alignment horizontal="center" vertical="center"/>
    </xf>
    <xf numFmtId="168" fontId="0" fillId="0" borderId="0" xfId="2" applyNumberFormat="1" applyFont="1" applyAlignment="1">
      <alignment horizontal="center" vertical="center"/>
    </xf>
    <xf numFmtId="3" fontId="14" fillId="26" borderId="0" xfId="0" applyNumberFormat="1" applyFont="1" applyFill="1" applyAlignment="1">
      <alignment horizontal="center" vertical="center"/>
    </xf>
    <xf numFmtId="10" fontId="23" fillId="17" borderId="0" xfId="4" applyNumberFormat="1" applyFill="1" applyAlignment="1">
      <alignment vertical="top" wrapText="1"/>
    </xf>
    <xf numFmtId="0" fontId="15" fillId="0" borderId="0" xfId="0" applyFont="1"/>
    <xf numFmtId="176" fontId="29" fillId="19" borderId="0" xfId="0" applyNumberFormat="1" applyFont="1" applyFill="1" applyAlignment="1">
      <alignment horizontal="right" vertical="center"/>
    </xf>
    <xf numFmtId="9" fontId="4" fillId="0" borderId="0" xfId="3" applyFont="1"/>
    <xf numFmtId="0" fontId="10" fillId="2" borderId="0" xfId="0" applyFont="1" applyFill="1" applyAlignment="1">
      <alignment vertical="center"/>
    </xf>
    <xf numFmtId="0" fontId="10" fillId="2" borderId="0" xfId="0" applyFont="1" applyFill="1" applyAlignment="1">
      <alignment horizontal="left" vertical="center" indent="1"/>
    </xf>
    <xf numFmtId="168" fontId="11" fillId="5" borderId="0" xfId="0" applyNumberFormat="1" applyFont="1" applyFill="1" applyAlignment="1">
      <alignment wrapText="1"/>
    </xf>
    <xf numFmtId="164" fontId="24" fillId="0" borderId="1" xfId="1" applyNumberFormat="1" applyFont="1" applyBorder="1" applyAlignment="1">
      <alignment horizontal="center" vertical="center"/>
    </xf>
    <xf numFmtId="164" fontId="24" fillId="0" borderId="29" xfId="1" applyNumberFormat="1" applyFont="1" applyBorder="1" applyAlignment="1">
      <alignment horizontal="center" vertical="center"/>
    </xf>
    <xf numFmtId="164" fontId="24" fillId="0" borderId="27" xfId="1" applyNumberFormat="1" applyFont="1" applyBorder="1" applyAlignment="1">
      <alignment horizontal="center" vertical="center"/>
    </xf>
    <xf numFmtId="164" fontId="24" fillId="0" borderId="28" xfId="1" applyNumberFormat="1" applyFont="1" applyBorder="1" applyAlignment="1">
      <alignment horizontal="center" vertical="center"/>
    </xf>
    <xf numFmtId="0" fontId="0" fillId="0" borderId="0" xfId="2" applyNumberFormat="1" applyFont="1" applyFill="1" applyBorder="1"/>
    <xf numFmtId="0" fontId="13" fillId="27" borderId="1" xfId="0" applyFont="1" applyFill="1" applyBorder="1" applyAlignment="1">
      <alignment horizontal="center" vertical="center"/>
    </xf>
    <xf numFmtId="0" fontId="13" fillId="27" borderId="1" xfId="0" applyFont="1" applyFill="1" applyBorder="1" applyAlignment="1">
      <alignment horizontal="center" vertical="center" wrapText="1"/>
    </xf>
    <xf numFmtId="0" fontId="0" fillId="0" borderId="0" xfId="0" applyFill="1" applyAlignment="1"/>
    <xf numFmtId="168" fontId="0" fillId="0" borderId="0" xfId="0" applyNumberFormat="1" applyBorder="1" applyAlignment="1">
      <alignment horizontal="center"/>
    </xf>
    <xf numFmtId="175" fontId="35" fillId="0" borderId="0" xfId="1" applyNumberFormat="1" applyFont="1" applyBorder="1" applyAlignment="1">
      <alignment horizontal="center"/>
    </xf>
    <xf numFmtId="0" fontId="0" fillId="0" borderId="0" xfId="0" applyBorder="1" applyAlignment="1">
      <alignment horizontal="center"/>
    </xf>
    <xf numFmtId="168" fontId="0" fillId="0" borderId="0" xfId="2" applyNumberFormat="1" applyFont="1" applyBorder="1" applyAlignment="1">
      <alignment horizontal="center"/>
    </xf>
    <xf numFmtId="164" fontId="0" fillId="0" borderId="0" xfId="1" applyNumberFormat="1" applyFont="1" applyFill="1"/>
    <xf numFmtId="0" fontId="12" fillId="6" borderId="0" xfId="0" applyFont="1" applyFill="1" applyAlignment="1">
      <alignment horizontal="left" vertical="center"/>
    </xf>
    <xf numFmtId="3" fontId="0" fillId="6" borderId="0" xfId="0" applyNumberFormat="1" applyFill="1" applyAlignment="1">
      <alignment horizontal="center" vertical="center"/>
    </xf>
    <xf numFmtId="172" fontId="0" fillId="3" borderId="1" xfId="0" applyNumberFormat="1" applyFill="1" applyBorder="1" applyAlignment="1">
      <alignment wrapText="1"/>
    </xf>
    <xf numFmtId="2" fontId="0" fillId="6" borderId="0" xfId="0" applyNumberFormat="1" applyFill="1"/>
    <xf numFmtId="0" fontId="10" fillId="0" borderId="0" xfId="0" applyFont="1" applyFill="1" applyAlignment="1">
      <alignment horizontal="left" vertical="center" indent="1"/>
    </xf>
    <xf numFmtId="0" fontId="10" fillId="0" borderId="0" xfId="0" applyFont="1" applyFill="1" applyAlignment="1">
      <alignment vertical="center"/>
    </xf>
    <xf numFmtId="168" fontId="11" fillId="0" borderId="0" xfId="2" applyNumberFormat="1" applyFont="1" applyFill="1"/>
    <xf numFmtId="172" fontId="0" fillId="22" borderId="1" xfId="0" applyNumberFormat="1" applyFill="1" applyBorder="1" applyAlignment="1">
      <alignment wrapText="1"/>
    </xf>
    <xf numFmtId="172" fontId="0" fillId="28" borderId="1" xfId="0" applyNumberFormat="1" applyFill="1" applyBorder="1" applyAlignment="1">
      <alignment wrapText="1"/>
    </xf>
    <xf numFmtId="0" fontId="10" fillId="0" borderId="0" xfId="0" applyFont="1" applyFill="1"/>
    <xf numFmtId="0" fontId="10" fillId="0" borderId="0" xfId="0" applyFont="1" applyFill="1" applyAlignment="1">
      <alignment wrapText="1"/>
    </xf>
    <xf numFmtId="0" fontId="10" fillId="0" borderId="1" xfId="0" applyFont="1" applyBorder="1"/>
    <xf numFmtId="0" fontId="11" fillId="0" borderId="1" xfId="0" applyFont="1" applyFill="1" applyBorder="1" applyAlignment="1">
      <alignment horizontal="center" wrapText="1"/>
    </xf>
    <xf numFmtId="0" fontId="10" fillId="0" borderId="1" xfId="0" applyFont="1" applyFill="1" applyBorder="1"/>
    <xf numFmtId="168" fontId="10" fillId="0" borderId="1" xfId="0" applyNumberFormat="1" applyFont="1" applyFill="1" applyBorder="1"/>
    <xf numFmtId="168" fontId="43" fillId="0" borderId="1" xfId="2" applyNumberFormat="1" applyFont="1" applyFill="1" applyBorder="1"/>
    <xf numFmtId="168" fontId="10" fillId="0" borderId="1" xfId="2" applyNumberFormat="1" applyFont="1" applyFill="1" applyBorder="1"/>
    <xf numFmtId="0" fontId="0" fillId="0" borderId="1" xfId="0" applyFill="1" applyBorder="1"/>
    <xf numFmtId="0" fontId="10" fillId="2" borderId="0" xfId="0" applyFont="1" applyFill="1" applyAlignment="1">
      <alignment horizontal="left" vertical="center" wrapText="1" indent="1"/>
    </xf>
    <xf numFmtId="0" fontId="11" fillId="0" borderId="1" xfId="0" applyFont="1" applyBorder="1" applyAlignment="1">
      <alignment horizontal="center"/>
    </xf>
    <xf numFmtId="0" fontId="11" fillId="0" borderId="1" xfId="0" applyFont="1" applyBorder="1" applyAlignment="1">
      <alignment horizontal="center" wrapText="1"/>
    </xf>
    <xf numFmtId="172" fontId="0" fillId="0" borderId="1" xfId="0" applyNumberFormat="1" applyBorder="1"/>
    <xf numFmtId="0" fontId="11" fillId="0" borderId="1" xfId="0" applyFont="1" applyFill="1" applyBorder="1" applyAlignment="1">
      <alignment wrapText="1"/>
    </xf>
    <xf numFmtId="0" fontId="13" fillId="24" borderId="16" xfId="0" applyFont="1" applyFill="1" applyBorder="1" applyAlignment="1">
      <alignment horizontal="center" vertical="center" wrapText="1"/>
    </xf>
    <xf numFmtId="164" fontId="24" fillId="0" borderId="16" xfId="1" applyNumberFormat="1" applyFont="1" applyBorder="1" applyAlignment="1">
      <alignment horizontal="center" vertical="center"/>
    </xf>
    <xf numFmtId="164" fontId="24" fillId="0" borderId="30" xfId="1" applyNumberFormat="1" applyFont="1" applyBorder="1" applyAlignment="1">
      <alignment horizontal="center" vertical="center"/>
    </xf>
    <xf numFmtId="1" fontId="0" fillId="0" borderId="1" xfId="0" applyNumberFormat="1" applyBorder="1"/>
    <xf numFmtId="0" fontId="13" fillId="27" borderId="16" xfId="0" applyFont="1" applyFill="1" applyBorder="1" applyAlignment="1">
      <alignment horizontal="center" vertical="center" wrapText="1"/>
    </xf>
    <xf numFmtId="167" fontId="37" fillId="0" borderId="1" xfId="3" applyNumberFormat="1" applyFont="1" applyBorder="1"/>
    <xf numFmtId="0" fontId="0" fillId="0" borderId="0" xfId="0" applyBorder="1" applyAlignment="1">
      <alignment vertical="center"/>
    </xf>
    <xf numFmtId="0" fontId="37" fillId="0" borderId="31" xfId="0" applyFont="1" applyBorder="1"/>
    <xf numFmtId="167" fontId="37" fillId="0" borderId="29" xfId="3" applyNumberFormat="1" applyFont="1" applyBorder="1"/>
    <xf numFmtId="0" fontId="37" fillId="0" borderId="32" xfId="0" applyFont="1" applyBorder="1"/>
    <xf numFmtId="0" fontId="0" fillId="0" borderId="27" xfId="0" applyBorder="1"/>
    <xf numFmtId="167" fontId="37" fillId="0" borderId="28" xfId="3" applyNumberFormat="1" applyFont="1" applyBorder="1"/>
    <xf numFmtId="167" fontId="37" fillId="0" borderId="27" xfId="3" applyNumberFormat="1" applyFont="1" applyBorder="1"/>
    <xf numFmtId="0" fontId="37" fillId="0" borderId="33" xfId="0" applyFont="1" applyBorder="1"/>
    <xf numFmtId="0" fontId="0" fillId="0" borderId="34" xfId="0" applyBorder="1"/>
    <xf numFmtId="167" fontId="37" fillId="0" borderId="34" xfId="3" applyNumberFormat="1" applyFont="1" applyBorder="1"/>
    <xf numFmtId="167" fontId="37" fillId="0" borderId="35" xfId="3" applyNumberFormat="1" applyFont="1" applyBorder="1"/>
    <xf numFmtId="0" fontId="37" fillId="0" borderId="36" xfId="0" applyFont="1" applyBorder="1"/>
    <xf numFmtId="0" fontId="0" fillId="0" borderId="37" xfId="0" applyBorder="1"/>
    <xf numFmtId="0" fontId="37" fillId="0" borderId="37" xfId="0" applyFont="1" applyBorder="1"/>
    <xf numFmtId="0" fontId="37" fillId="0" borderId="38" xfId="0" applyFont="1" applyBorder="1"/>
    <xf numFmtId="0" fontId="37" fillId="0" borderId="36" xfId="0" applyFont="1" applyFill="1" applyBorder="1"/>
    <xf numFmtId="0" fontId="37" fillId="0" borderId="33" xfId="0" applyFont="1" applyFill="1" applyBorder="1"/>
    <xf numFmtId="0" fontId="37" fillId="0" borderId="31" xfId="0" applyFont="1" applyFill="1" applyBorder="1"/>
    <xf numFmtId="0" fontId="37" fillId="0" borderId="32" xfId="0" applyFont="1" applyFill="1" applyBorder="1"/>
    <xf numFmtId="0" fontId="0" fillId="0" borderId="1" xfId="0" applyBorder="1" applyAlignment="1">
      <alignment horizontal="center" vertical="center"/>
    </xf>
    <xf numFmtId="0" fontId="3" fillId="9" borderId="1" xfId="0" applyFont="1" applyFill="1" applyBorder="1" applyAlignment="1">
      <alignment horizontal="center" vertical="center"/>
    </xf>
    <xf numFmtId="164" fontId="25" fillId="0" borderId="1" xfId="0" applyNumberFormat="1" applyFont="1" applyBorder="1"/>
    <xf numFmtId="166" fontId="3" fillId="0" borderId="1" xfId="0" applyNumberFormat="1" applyFont="1" applyBorder="1"/>
    <xf numFmtId="164" fontId="3" fillId="0" borderId="1" xfId="0" applyNumberFormat="1" applyFont="1" applyBorder="1"/>
    <xf numFmtId="164" fontId="0" fillId="0" borderId="1" xfId="0" applyNumberFormat="1" applyBorder="1"/>
    <xf numFmtId="166" fontId="0" fillId="0" borderId="1" xfId="0" applyNumberFormat="1" applyBorder="1"/>
    <xf numFmtId="164" fontId="0" fillId="6" borderId="1" xfId="0" applyNumberFormat="1" applyFill="1" applyBorder="1"/>
    <xf numFmtId="0" fontId="3" fillId="0" borderId="1" xfId="0" applyFont="1" applyBorder="1" applyAlignment="1">
      <alignment horizontal="center"/>
    </xf>
    <xf numFmtId="3" fontId="0" fillId="6" borderId="1" xfId="0" applyNumberFormat="1" applyFill="1" applyBorder="1"/>
    <xf numFmtId="0" fontId="3" fillId="0" borderId="0" xfId="0" applyFont="1" applyAlignment="1"/>
    <xf numFmtId="0" fontId="0" fillId="9" borderId="1" xfId="0" applyFill="1" applyBorder="1" applyAlignment="1">
      <alignment horizontal="center" vertical="center"/>
    </xf>
    <xf numFmtId="0" fontId="0" fillId="6" borderId="1" xfId="0" applyFill="1" applyBorder="1"/>
    <xf numFmtId="168" fontId="0" fillId="6" borderId="1" xfId="2" applyNumberFormat="1" applyFont="1" applyFill="1" applyBorder="1"/>
    <xf numFmtId="0" fontId="3" fillId="0" borderId="1" xfId="0" applyFont="1" applyBorder="1" applyAlignment="1">
      <alignment horizontal="center" vertical="center"/>
    </xf>
    <xf numFmtId="172" fontId="0" fillId="6" borderId="1" xfId="2" applyNumberFormat="1" applyFont="1" applyFill="1" applyBorder="1" applyAlignment="1">
      <alignment horizontal="center"/>
    </xf>
    <xf numFmtId="172" fontId="0" fillId="6" borderId="1" xfId="2"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0" xfId="0" applyFill="1" applyAlignment="1">
      <alignment horizontal="center" vertical="center"/>
    </xf>
    <xf numFmtId="168" fontId="0" fillId="0" borderId="0" xfId="0" applyNumberFormat="1" applyFill="1"/>
    <xf numFmtId="164" fontId="0" fillId="0" borderId="0" xfId="0" applyNumberFormat="1" applyFill="1"/>
    <xf numFmtId="3" fontId="0" fillId="0" borderId="0" xfId="0" applyNumberFormat="1" applyFill="1"/>
    <xf numFmtId="3" fontId="0" fillId="0" borderId="0" xfId="0" applyNumberFormat="1" applyFill="1" applyAlignment="1">
      <alignment vertical="center"/>
    </xf>
    <xf numFmtId="0" fontId="0" fillId="0" borderId="0" xfId="0" applyFill="1" applyAlignment="1">
      <alignment horizontal="center"/>
    </xf>
    <xf numFmtId="168" fontId="0" fillId="0" borderId="0" xfId="2" applyNumberFormat="1" applyFont="1" applyFill="1"/>
    <xf numFmtId="3" fontId="14" fillId="0" borderId="26" xfId="0" applyNumberFormat="1" applyFont="1" applyFill="1" applyBorder="1" applyAlignment="1">
      <alignment horizontal="right" vertical="center"/>
    </xf>
    <xf numFmtId="0" fontId="0" fillId="0" borderId="0" xfId="0" applyFill="1" applyAlignment="1">
      <alignment vertical="center"/>
    </xf>
    <xf numFmtId="9" fontId="0" fillId="0" borderId="0" xfId="3" applyNumberFormat="1" applyFont="1" applyFill="1"/>
    <xf numFmtId="172" fontId="0" fillId="6" borderId="1" xfId="2" applyNumberFormat="1" applyFont="1" applyFill="1" applyBorder="1"/>
    <xf numFmtId="0" fontId="0" fillId="0" borderId="1" xfId="0" applyFill="1" applyBorder="1" applyAlignment="1">
      <alignment horizontal="center"/>
    </xf>
    <xf numFmtId="169" fontId="0" fillId="6" borderId="1" xfId="0" applyNumberFormat="1" applyFill="1" applyBorder="1"/>
    <xf numFmtId="3" fontId="0" fillId="0" borderId="1" xfId="1" applyNumberFormat="1" applyFont="1" applyBorder="1" applyAlignment="1">
      <alignment horizontal="center" vertical="center"/>
    </xf>
    <xf numFmtId="3" fontId="0" fillId="0" borderId="1" xfId="0" applyNumberFormat="1" applyBorder="1" applyAlignment="1">
      <alignment horizontal="center" vertical="center"/>
    </xf>
    <xf numFmtId="3" fontId="0" fillId="0" borderId="1" xfId="0" applyNumberFormat="1" applyFill="1" applyBorder="1" applyAlignment="1">
      <alignment horizontal="center" vertical="center"/>
    </xf>
    <xf numFmtId="1" fontId="0" fillId="0" borderId="1" xfId="0" applyNumberFormat="1" applyBorder="1" applyAlignment="1">
      <alignment horizontal="center" vertical="center"/>
    </xf>
    <xf numFmtId="1" fontId="0" fillId="0" borderId="1" xfId="0" applyNumberFormat="1" applyBorder="1" applyAlignment="1">
      <alignment horizontal="center"/>
    </xf>
    <xf numFmtId="0" fontId="3" fillId="0" borderId="1" xfId="0" applyFont="1" applyBorder="1" applyAlignment="1">
      <alignment horizontal="center" vertical="center" wrapText="1"/>
    </xf>
    <xf numFmtId="3" fontId="14" fillId="26" borderId="1" xfId="1" applyNumberFormat="1" applyFont="1" applyFill="1" applyBorder="1" applyAlignment="1">
      <alignment horizontal="center" vertical="center"/>
    </xf>
    <xf numFmtId="0" fontId="6" fillId="0" borderId="2" xfId="0" applyFont="1" applyFill="1" applyBorder="1" applyAlignment="1">
      <alignment horizontal="center"/>
    </xf>
    <xf numFmtId="169" fontId="22" fillId="0" borderId="13" xfId="9" applyNumberFormat="1" applyFill="1" applyBorder="1"/>
    <xf numFmtId="169" fontId="22" fillId="0" borderId="10" xfId="9" applyNumberFormat="1" applyFill="1" applyBorder="1"/>
    <xf numFmtId="169" fontId="22" fillId="0" borderId="14" xfId="9" applyNumberFormat="1" applyFill="1" applyBorder="1"/>
    <xf numFmtId="0" fontId="6" fillId="0" borderId="0" xfId="0" applyFont="1" applyFill="1" applyBorder="1" applyAlignment="1">
      <alignment horizontal="center"/>
    </xf>
    <xf numFmtId="0" fontId="7" fillId="0" borderId="1" xfId="0" applyFont="1" applyFill="1" applyBorder="1" applyAlignment="1">
      <alignment horizontal="center"/>
    </xf>
    <xf numFmtId="167" fontId="0" fillId="0" borderId="0" xfId="3" applyNumberFormat="1" applyFont="1" applyFill="1"/>
    <xf numFmtId="169" fontId="0" fillId="0" borderId="0" xfId="0" applyNumberFormat="1" applyFill="1" applyBorder="1"/>
    <xf numFmtId="0" fontId="6" fillId="0" borderId="1" xfId="0" applyFont="1" applyFill="1" applyBorder="1" applyAlignment="1">
      <alignment horizontal="center"/>
    </xf>
    <xf numFmtId="169" fontId="0" fillId="0" borderId="1" xfId="0" applyNumberFormat="1" applyFill="1" applyBorder="1"/>
    <xf numFmtId="165" fontId="0" fillId="0" borderId="1" xfId="0" applyNumberFormat="1" applyFill="1" applyBorder="1"/>
    <xf numFmtId="0" fontId="0" fillId="0" borderId="1" xfId="0" applyFill="1" applyBorder="1" applyAlignment="1">
      <alignment wrapText="1"/>
    </xf>
    <xf numFmtId="165" fontId="0" fillId="0" borderId="1" xfId="0" applyNumberFormat="1" applyBorder="1"/>
    <xf numFmtId="0" fontId="7" fillId="0" borderId="0" xfId="0" applyFont="1" applyFill="1" applyBorder="1" applyAlignment="1">
      <alignment horizontal="center"/>
    </xf>
    <xf numFmtId="0" fontId="3" fillId="0" borderId="1" xfId="0" applyFont="1" applyFill="1" applyBorder="1" applyAlignment="1">
      <alignment horizontal="center"/>
    </xf>
    <xf numFmtId="164" fontId="0" fillId="0" borderId="1" xfId="1" applyNumberFormat="1" applyFont="1" applyBorder="1"/>
    <xf numFmtId="169" fontId="0" fillId="0" borderId="1" xfId="0" applyNumberFormat="1" applyBorder="1"/>
    <xf numFmtId="0" fontId="3" fillId="23" borderId="1" xfId="0" applyFont="1" applyFill="1" applyBorder="1" applyAlignment="1">
      <alignment horizontal="center"/>
    </xf>
    <xf numFmtId="0" fontId="3" fillId="28" borderId="1" xfId="0" applyFont="1" applyFill="1" applyBorder="1" applyAlignment="1">
      <alignment horizontal="center"/>
    </xf>
    <xf numFmtId="1" fontId="0" fillId="0" borderId="1" xfId="0" applyNumberFormat="1" applyFill="1" applyBorder="1"/>
    <xf numFmtId="164" fontId="0" fillId="0" borderId="1" xfId="1" applyNumberFormat="1" applyFont="1" applyFill="1" applyBorder="1"/>
    <xf numFmtId="0" fontId="3" fillId="0" borderId="1" xfId="0" applyFont="1" applyFill="1" applyBorder="1"/>
    <xf numFmtId="1" fontId="5" fillId="0" borderId="0" xfId="0" applyNumberFormat="1" applyFont="1" applyFill="1" applyAlignment="1">
      <alignment horizontal="centerContinuous"/>
    </xf>
    <xf numFmtId="1" fontId="7" fillId="0" borderId="5" xfId="0" applyNumberFormat="1" applyFont="1" applyFill="1" applyBorder="1" applyAlignment="1">
      <alignment horizontal="center"/>
    </xf>
    <xf numFmtId="1" fontId="7" fillId="0" borderId="6" xfId="0" applyNumberFormat="1" applyFont="1" applyFill="1" applyBorder="1" applyAlignment="1">
      <alignment horizontal="center"/>
    </xf>
    <xf numFmtId="1" fontId="7" fillId="0" borderId="7" xfId="0" applyNumberFormat="1" applyFont="1" applyFill="1" applyBorder="1" applyAlignment="1">
      <alignment horizontal="center"/>
    </xf>
    <xf numFmtId="1" fontId="5" fillId="0" borderId="1" xfId="0" applyNumberFormat="1" applyFont="1" applyFill="1" applyBorder="1" applyAlignment="1">
      <alignment horizontal="centerContinuous"/>
    </xf>
    <xf numFmtId="1" fontId="7" fillId="0" borderId="1" xfId="0" applyNumberFormat="1" applyFont="1" applyFill="1" applyBorder="1" applyAlignment="1">
      <alignment horizontal="center"/>
    </xf>
    <xf numFmtId="164" fontId="0" fillId="0" borderId="1" xfId="0" applyNumberFormat="1" applyFill="1" applyBorder="1"/>
    <xf numFmtId="0" fontId="17" fillId="0" borderId="0" xfId="0" applyFont="1" applyFill="1" applyAlignment="1">
      <alignment vertical="center"/>
    </xf>
    <xf numFmtId="1" fontId="7" fillId="0" borderId="4" xfId="0" applyNumberFormat="1" applyFont="1" applyFill="1" applyBorder="1" applyAlignment="1">
      <alignment horizontal="center"/>
    </xf>
    <xf numFmtId="168" fontId="0" fillId="0" borderId="12" xfId="2" applyNumberFormat="1" applyFont="1" applyFill="1" applyBorder="1"/>
    <xf numFmtId="166" fontId="0" fillId="0" borderId="0" xfId="0" applyNumberFormat="1" applyFill="1"/>
    <xf numFmtId="172" fontId="0" fillId="0" borderId="1" xfId="2" applyNumberFormat="1" applyFont="1" applyFill="1" applyBorder="1"/>
    <xf numFmtId="168" fontId="0" fillId="0" borderId="1" xfId="2" applyNumberFormat="1" applyFont="1" applyFill="1" applyBorder="1"/>
    <xf numFmtId="2" fontId="0" fillId="0" borderId="1" xfId="0" applyNumberFormat="1" applyFill="1" applyBorder="1"/>
    <xf numFmtId="172" fontId="0" fillId="0" borderId="0" xfId="2" applyNumberFormat="1" applyFont="1" applyFill="1" applyBorder="1"/>
    <xf numFmtId="2" fontId="10" fillId="0" borderId="1" xfId="0" applyNumberFormat="1" applyFont="1" applyBorder="1"/>
    <xf numFmtId="0" fontId="47" fillId="6" borderId="1" xfId="0" applyFont="1" applyFill="1" applyBorder="1" applyAlignment="1">
      <alignment vertical="center" wrapText="1"/>
    </xf>
    <xf numFmtId="3" fontId="47" fillId="6" borderId="1" xfId="0" applyNumberFormat="1" applyFont="1" applyFill="1" applyBorder="1" applyAlignment="1">
      <alignment vertical="center" wrapText="1"/>
    </xf>
    <xf numFmtId="0" fontId="3" fillId="6" borderId="1" xfId="0" applyFont="1" applyFill="1" applyBorder="1" applyAlignment="1">
      <alignment horizontal="right"/>
    </xf>
    <xf numFmtId="0" fontId="47" fillId="6" borderId="1" xfId="0" applyFont="1" applyFill="1" applyBorder="1" applyAlignment="1">
      <alignment horizontal="center" vertical="center" wrapText="1"/>
    </xf>
    <xf numFmtId="0" fontId="47" fillId="6" borderId="1" xfId="0" applyFont="1" applyFill="1" applyBorder="1" applyAlignment="1">
      <alignment horizontal="centerContinuous" vertical="center" wrapText="1"/>
    </xf>
    <xf numFmtId="0" fontId="0" fillId="0" borderId="1" xfId="0" applyFont="1" applyBorder="1" applyAlignment="1">
      <alignment horizontal="center"/>
    </xf>
    <xf numFmtId="3" fontId="0" fillId="0" borderId="1" xfId="0" applyNumberFormat="1" applyFont="1" applyBorder="1"/>
    <xf numFmtId="178" fontId="48" fillId="6" borderId="1" xfId="0" applyNumberFormat="1" applyFont="1" applyFill="1" applyBorder="1" applyAlignment="1">
      <alignment vertical="center" wrapText="1"/>
    </xf>
    <xf numFmtId="177" fontId="48" fillId="6" borderId="1" xfId="0" applyNumberFormat="1" applyFont="1" applyFill="1" applyBorder="1" applyAlignment="1">
      <alignment vertical="center" wrapText="1"/>
    </xf>
    <xf numFmtId="0" fontId="20" fillId="7" borderId="1" xfId="0" applyFont="1" applyFill="1" applyBorder="1" applyAlignment="1">
      <alignment horizontal="center" vertical="center" wrapText="1"/>
    </xf>
    <xf numFmtId="0" fontId="19" fillId="8" borderId="1" xfId="0" applyFont="1" applyFill="1" applyBorder="1" applyAlignment="1">
      <alignment horizontal="left" vertical="top" wrapText="1"/>
    </xf>
    <xf numFmtId="0" fontId="15" fillId="10" borderId="1" xfId="0" applyFont="1" applyFill="1" applyBorder="1" applyAlignment="1">
      <alignment horizontal="left" vertical="top" wrapText="1"/>
    </xf>
    <xf numFmtId="0" fontId="0" fillId="17" borderId="0" xfId="0" applyFill="1" applyAlignment="1">
      <alignment horizontal="left" vertical="top" wrapText="1"/>
    </xf>
    <xf numFmtId="0" fontId="3" fillId="25" borderId="16" xfId="0" applyFont="1" applyFill="1" applyBorder="1" applyAlignment="1">
      <alignment horizontal="center"/>
    </xf>
    <xf numFmtId="0" fontId="3" fillId="25" borderId="17" xfId="0" applyFont="1" applyFill="1" applyBorder="1" applyAlignment="1">
      <alignment horizontal="center"/>
    </xf>
    <xf numFmtId="0" fontId="3" fillId="25" borderId="18" xfId="0" applyFont="1" applyFill="1" applyBorder="1" applyAlignment="1">
      <alignment horizontal="center"/>
    </xf>
    <xf numFmtId="0" fontId="3" fillId="21" borderId="16" xfId="0" applyFont="1" applyFill="1" applyBorder="1" applyAlignment="1">
      <alignment horizontal="center"/>
    </xf>
    <xf numFmtId="0" fontId="3" fillId="21" borderId="17" xfId="0" applyFont="1" applyFill="1" applyBorder="1" applyAlignment="1">
      <alignment horizontal="center"/>
    </xf>
    <xf numFmtId="0" fontId="3" fillId="21" borderId="18" xfId="0" applyFont="1" applyFill="1" applyBorder="1" applyAlignment="1">
      <alignment horizontal="center"/>
    </xf>
    <xf numFmtId="0" fontId="3" fillId="21" borderId="1" xfId="0" applyFont="1" applyFill="1" applyBorder="1" applyAlignment="1">
      <alignment horizontal="center" wrapText="1"/>
    </xf>
    <xf numFmtId="0" fontId="3" fillId="21" borderId="1" xfId="0" applyFont="1" applyFill="1" applyBorder="1" applyAlignment="1">
      <alignment horizontal="center"/>
    </xf>
    <xf numFmtId="0" fontId="35" fillId="3" borderId="1" xfId="0" applyFont="1" applyFill="1" applyBorder="1" applyAlignment="1">
      <alignment horizontal="center"/>
    </xf>
    <xf numFmtId="0" fontId="3" fillId="23" borderId="1" xfId="0" applyFont="1" applyFill="1" applyBorder="1" applyAlignment="1">
      <alignment horizontal="center" wrapText="1"/>
    </xf>
    <xf numFmtId="0" fontId="34" fillId="6" borderId="15" xfId="0" applyFont="1" applyFill="1" applyBorder="1" applyAlignment="1">
      <alignment horizontal="left" vertical="top" wrapText="1"/>
    </xf>
    <xf numFmtId="0" fontId="34" fillId="6" borderId="0" xfId="0" applyFont="1" applyFill="1" applyAlignment="1">
      <alignment horizontal="left" vertical="top" wrapText="1"/>
    </xf>
    <xf numFmtId="0" fontId="34" fillId="6" borderId="22" xfId="0" applyFont="1" applyFill="1" applyBorder="1" applyAlignment="1">
      <alignment horizontal="left" vertical="top" wrapText="1"/>
    </xf>
    <xf numFmtId="0" fontId="34" fillId="6" borderId="23" xfId="0" applyFont="1" applyFill="1" applyBorder="1" applyAlignment="1">
      <alignment horizontal="left" vertical="top" wrapText="1"/>
    </xf>
    <xf numFmtId="0" fontId="34" fillId="6" borderId="24" xfId="0" applyFont="1" applyFill="1" applyBorder="1" applyAlignment="1">
      <alignment horizontal="left" vertical="top" wrapText="1"/>
    </xf>
    <xf numFmtId="0" fontId="34" fillId="6" borderId="25" xfId="0" applyFont="1" applyFill="1" applyBorder="1" applyAlignment="1">
      <alignment horizontal="left" vertical="top" wrapText="1"/>
    </xf>
    <xf numFmtId="0" fontId="0" fillId="0" borderId="0" xfId="0" applyBorder="1" applyAlignment="1">
      <alignment horizontal="left" vertical="center"/>
    </xf>
    <xf numFmtId="0" fontId="34" fillId="6" borderId="20" xfId="0" applyFont="1" applyFill="1" applyBorder="1" applyAlignment="1">
      <alignment horizontal="left" vertical="center" wrapText="1"/>
    </xf>
    <xf numFmtId="0" fontId="34" fillId="6" borderId="19" xfId="0" applyFont="1" applyFill="1" applyBorder="1" applyAlignment="1">
      <alignment horizontal="left" vertical="center" wrapText="1"/>
    </xf>
    <xf numFmtId="0" fontId="34" fillId="6" borderId="21" xfId="0" applyFont="1" applyFill="1" applyBorder="1" applyAlignment="1">
      <alignment horizontal="left" vertical="center" wrapText="1"/>
    </xf>
    <xf numFmtId="0" fontId="34" fillId="6" borderId="15" xfId="0" applyFont="1" applyFill="1" applyBorder="1" applyAlignment="1">
      <alignment horizontal="left" vertical="center" wrapText="1"/>
    </xf>
    <xf numFmtId="0" fontId="34" fillId="6" borderId="0" xfId="0" applyFont="1" applyFill="1" applyAlignment="1">
      <alignment horizontal="left" vertical="center" wrapText="1"/>
    </xf>
    <xf numFmtId="0" fontId="34" fillId="6" borderId="22" xfId="0" applyFont="1" applyFill="1" applyBorder="1" applyAlignment="1">
      <alignment horizontal="left" vertical="center" wrapText="1"/>
    </xf>
    <xf numFmtId="0" fontId="34" fillId="6" borderId="15" xfId="0" applyFont="1" applyFill="1" applyBorder="1" applyAlignment="1">
      <alignment horizontal="left"/>
    </xf>
    <xf numFmtId="0" fontId="34" fillId="6" borderId="0" xfId="0" applyFont="1" applyFill="1" applyAlignment="1">
      <alignment horizontal="left"/>
    </xf>
    <xf numFmtId="0" fontId="34" fillId="6" borderId="22" xfId="0" applyFont="1" applyFill="1" applyBorder="1" applyAlignment="1">
      <alignment horizontal="left"/>
    </xf>
    <xf numFmtId="0" fontId="34" fillId="6" borderId="15" xfId="0" applyFont="1" applyFill="1" applyBorder="1" applyAlignment="1">
      <alignment horizontal="left" wrapText="1"/>
    </xf>
    <xf numFmtId="0" fontId="34" fillId="6" borderId="0" xfId="0" applyFont="1" applyFill="1" applyAlignment="1">
      <alignment horizontal="left" wrapText="1"/>
    </xf>
    <xf numFmtId="0" fontId="34" fillId="6" borderId="22" xfId="0" applyFont="1" applyFill="1" applyBorder="1" applyAlignment="1">
      <alignment horizontal="left" wrapText="1"/>
    </xf>
    <xf numFmtId="0" fontId="38" fillId="6" borderId="0" xfId="0" applyFont="1" applyFill="1" applyAlignment="1">
      <alignment horizontal="left" vertical="center" wrapText="1"/>
    </xf>
    <xf numFmtId="0" fontId="38" fillId="6" borderId="22" xfId="0" applyFont="1" applyFill="1" applyBorder="1" applyAlignment="1">
      <alignment horizontal="left" vertical="center" wrapText="1"/>
    </xf>
    <xf numFmtId="0" fontId="38" fillId="6" borderId="20" xfId="0" applyFont="1" applyFill="1" applyBorder="1" applyAlignment="1">
      <alignment horizontal="left"/>
    </xf>
    <xf numFmtId="0" fontId="38" fillId="6" borderId="19" xfId="0" applyFont="1" applyFill="1" applyBorder="1" applyAlignment="1">
      <alignment horizontal="left"/>
    </xf>
    <xf numFmtId="0" fontId="38" fillId="6" borderId="21" xfId="0" applyFont="1" applyFill="1" applyBorder="1" applyAlignment="1">
      <alignment horizontal="left"/>
    </xf>
    <xf numFmtId="0" fontId="38" fillId="6" borderId="15" xfId="0" applyFont="1" applyFill="1" applyBorder="1" applyAlignment="1">
      <alignment horizontal="left" vertical="center" wrapText="1"/>
    </xf>
    <xf numFmtId="0" fontId="38" fillId="6" borderId="0" xfId="0" applyFont="1" applyFill="1" applyAlignment="1">
      <alignment horizontal="left"/>
    </xf>
    <xf numFmtId="0" fontId="38" fillId="6" borderId="22" xfId="0" applyFont="1" applyFill="1" applyBorder="1" applyAlignment="1">
      <alignment horizontal="left"/>
    </xf>
    <xf numFmtId="0" fontId="3" fillId="3" borderId="1" xfId="0" applyFont="1" applyFill="1" applyBorder="1" applyAlignment="1">
      <alignment horizontal="center"/>
    </xf>
    <xf numFmtId="0" fontId="3" fillId="0" borderId="0" xfId="0" applyFont="1" applyAlignment="1">
      <alignment horizontal="center"/>
    </xf>
    <xf numFmtId="0" fontId="3" fillId="3" borderId="1" xfId="0" applyFont="1" applyFill="1" applyBorder="1" applyAlignment="1">
      <alignment horizontal="center" vertical="center"/>
    </xf>
    <xf numFmtId="0" fontId="0" fillId="0" borderId="0" xfId="0" applyFont="1" applyAlignment="1">
      <alignment horizontal="left" wrapText="1"/>
    </xf>
    <xf numFmtId="0" fontId="35" fillId="9" borderId="1" xfId="0" applyFont="1" applyFill="1" applyBorder="1" applyAlignment="1">
      <alignment horizontal="center" vertical="center"/>
    </xf>
    <xf numFmtId="0" fontId="35" fillId="9" borderId="0" xfId="0" applyFont="1" applyFill="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0" fontId="12" fillId="9" borderId="0" xfId="0" applyFont="1" applyFill="1" applyAlignment="1">
      <alignment horizontal="center"/>
    </xf>
    <xf numFmtId="0" fontId="12" fillId="9" borderId="0" xfId="0" applyFont="1" applyFill="1" applyAlignment="1">
      <alignment horizontal="center" vertical="center"/>
    </xf>
    <xf numFmtId="0" fontId="5" fillId="0" borderId="16" xfId="0" applyFont="1" applyFill="1" applyBorder="1" applyAlignment="1">
      <alignment horizontal="center"/>
    </xf>
    <xf numFmtId="0" fontId="5" fillId="0" borderId="17" xfId="0" applyFont="1" applyFill="1" applyBorder="1" applyAlignment="1">
      <alignment horizontal="center"/>
    </xf>
    <xf numFmtId="0" fontId="5" fillId="0" borderId="18" xfId="0" applyFont="1" applyFill="1" applyBorder="1" applyAlignment="1">
      <alignment horizontal="center"/>
    </xf>
    <xf numFmtId="0" fontId="5" fillId="0" borderId="1" xfId="0" applyFont="1" applyFill="1" applyBorder="1" applyAlignment="1">
      <alignment horizontal="center"/>
    </xf>
    <xf numFmtId="0" fontId="5" fillId="0" borderId="1" xfId="0" applyFont="1" applyBorder="1" applyAlignment="1">
      <alignment horizontal="center"/>
    </xf>
    <xf numFmtId="0" fontId="3" fillId="0" borderId="24" xfId="0" applyFont="1" applyFill="1" applyBorder="1" applyAlignment="1">
      <alignment horizontal="center"/>
    </xf>
    <xf numFmtId="1" fontId="5" fillId="0" borderId="24" xfId="0" applyNumberFormat="1" applyFont="1" applyFill="1" applyBorder="1" applyAlignment="1">
      <alignment horizontal="center"/>
    </xf>
    <xf numFmtId="1" fontId="5" fillId="0" borderId="0" xfId="0" applyNumberFormat="1" applyFont="1" applyFill="1" applyBorder="1" applyAlignment="1">
      <alignment horizontal="center"/>
    </xf>
    <xf numFmtId="1" fontId="5" fillId="0" borderId="1" xfId="0" applyNumberFormat="1" applyFont="1" applyFill="1" applyBorder="1" applyAlignment="1">
      <alignment horizontal="center"/>
    </xf>
  </cellXfs>
  <cellStyles count="10">
    <cellStyle name="Comma" xfId="1" builtinId="3"/>
    <cellStyle name="Currency" xfId="2" builtinId="4"/>
    <cellStyle name="Currency 2" xfId="8"/>
    <cellStyle name="Hyperlink" xfId="4" builtinId="8"/>
    <cellStyle name="Normal" xfId="0" builtinId="0"/>
    <cellStyle name="Normal 2" xfId="5"/>
    <cellStyle name="Normal 2 2" xfId="7"/>
    <cellStyle name="Normal 2 2 2 2" xfId="9"/>
    <cellStyle name="Normal 3" xfId="6"/>
    <cellStyle name="Percent" xfId="3" builtinId="5"/>
  </cellStyles>
  <dxfs count="0"/>
  <tableStyles count="0" defaultTableStyle="TableStyleMedium2" defaultPivotStyle="PivotStyleLight16"/>
  <colors>
    <mruColors>
      <color rgb="FF8B0B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Cumulative Discounted</a:t>
            </a:r>
            <a:r>
              <a:rPr lang="en-US" baseline="0"/>
              <a:t> Benefits and Costs </a:t>
            </a:r>
            <a:br>
              <a:rPr lang="en-US" baseline="0"/>
            </a:br>
            <a:r>
              <a:rPr lang="en-US" baseline="0"/>
              <a:t>at 7% Discount Rate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'Break-Even Graph'!$B$40</c:f>
              <c:strCache>
                <c:ptCount val="1"/>
                <c:pt idx="0">
                  <c:v>7% Dis Costs Cumulative</c:v>
                </c:pt>
              </c:strCache>
            </c:strRef>
          </c:tx>
          <c:spPr>
            <a:ln w="28575" cap="rnd">
              <a:solidFill>
                <a:schemeClr val="accent1"/>
              </a:solidFill>
              <a:round/>
            </a:ln>
            <a:effectLst/>
          </c:spPr>
          <c:marker>
            <c:symbol val="none"/>
          </c:marker>
          <c:cat>
            <c:numRef>
              <c:f>'Break-Even Graph'!$A$41:$A$70</c:f>
              <c:numCache>
                <c:formatCode>General</c:formatCode>
                <c:ptCount val="3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numCache>
            </c:numRef>
          </c:cat>
          <c:val>
            <c:numRef>
              <c:f>'Break-Even Graph'!$B$41:$B$70</c:f>
              <c:numCache>
                <c:formatCode>"$"#,##0_);[Red]\("$"#,##0\)</c:formatCode>
                <c:ptCount val="30"/>
                <c:pt idx="0">
                  <c:v>73237940.356562406</c:v>
                </c:pt>
                <c:pt idx="1">
                  <c:v>141684613.58699456</c:v>
                </c:pt>
                <c:pt idx="2">
                  <c:v>205653467.07337976</c:v>
                </c:pt>
                <c:pt idx="3">
                  <c:v>205653467.07337976</c:v>
                </c:pt>
                <c:pt idx="4">
                  <c:v>205653467.07337976</c:v>
                </c:pt>
                <c:pt idx="5">
                  <c:v>205653467.07337976</c:v>
                </c:pt>
                <c:pt idx="6">
                  <c:v>205653467.07337976</c:v>
                </c:pt>
                <c:pt idx="7">
                  <c:v>205653467.07337976</c:v>
                </c:pt>
                <c:pt idx="8">
                  <c:v>205653467.07337976</c:v>
                </c:pt>
                <c:pt idx="9">
                  <c:v>205653467.07337976</c:v>
                </c:pt>
                <c:pt idx="10">
                  <c:v>205653467.07337976</c:v>
                </c:pt>
                <c:pt idx="11">
                  <c:v>205653467.07337976</c:v>
                </c:pt>
                <c:pt idx="12">
                  <c:v>205653467.07337976</c:v>
                </c:pt>
                <c:pt idx="13">
                  <c:v>205653467.07337976</c:v>
                </c:pt>
                <c:pt idx="14">
                  <c:v>205653467.07337976</c:v>
                </c:pt>
                <c:pt idx="15">
                  <c:v>205653467.07337976</c:v>
                </c:pt>
                <c:pt idx="16">
                  <c:v>205653467.07337976</c:v>
                </c:pt>
                <c:pt idx="17">
                  <c:v>205653467.07337976</c:v>
                </c:pt>
                <c:pt idx="18">
                  <c:v>205653467.07337976</c:v>
                </c:pt>
                <c:pt idx="19">
                  <c:v>205653467.07337976</c:v>
                </c:pt>
                <c:pt idx="20">
                  <c:v>205653467.07337976</c:v>
                </c:pt>
                <c:pt idx="21">
                  <c:v>205653467.07337976</c:v>
                </c:pt>
                <c:pt idx="22">
                  <c:v>205653467.07337976</c:v>
                </c:pt>
                <c:pt idx="23">
                  <c:v>205653467.07337976</c:v>
                </c:pt>
                <c:pt idx="24">
                  <c:v>205653467.07337976</c:v>
                </c:pt>
                <c:pt idx="25">
                  <c:v>205653467.07337976</c:v>
                </c:pt>
                <c:pt idx="26">
                  <c:v>205653467.07337976</c:v>
                </c:pt>
                <c:pt idx="27">
                  <c:v>205653467.07337976</c:v>
                </c:pt>
                <c:pt idx="28">
                  <c:v>205653467.07337976</c:v>
                </c:pt>
                <c:pt idx="29">
                  <c:v>205653467.07337976</c:v>
                </c:pt>
              </c:numCache>
            </c:numRef>
          </c:val>
          <c:smooth val="0"/>
          <c:extLst>
            <c:ext xmlns:c16="http://schemas.microsoft.com/office/drawing/2014/chart" uri="{C3380CC4-5D6E-409C-BE32-E72D297353CC}">
              <c16:uniqueId val="{00000000-A0BF-4FD9-B0EF-23CDAC8ACDA0}"/>
            </c:ext>
          </c:extLst>
        </c:ser>
        <c:ser>
          <c:idx val="1"/>
          <c:order val="1"/>
          <c:tx>
            <c:strRef>
              <c:f>'Break-Even Graph'!$C$40</c:f>
              <c:strCache>
                <c:ptCount val="1"/>
                <c:pt idx="0">
                  <c:v>7% Dis Benefits Cumulative</c:v>
                </c:pt>
              </c:strCache>
            </c:strRef>
          </c:tx>
          <c:spPr>
            <a:ln w="28575" cap="rnd">
              <a:solidFill>
                <a:schemeClr val="accent2"/>
              </a:solidFill>
              <a:round/>
            </a:ln>
            <a:effectLst/>
          </c:spPr>
          <c:marker>
            <c:symbol val="none"/>
          </c:marker>
          <c:cat>
            <c:numRef>
              <c:f>'Break-Even Graph'!$A$41:$A$70</c:f>
              <c:numCache>
                <c:formatCode>General</c:formatCode>
                <c:ptCount val="3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numCache>
            </c:numRef>
          </c:cat>
          <c:val>
            <c:numRef>
              <c:f>'Break-Even Graph'!$C$41:$C$70</c:f>
              <c:numCache>
                <c:formatCode>"$"#,##0_);[Red]\("$"#,##0\)</c:formatCode>
                <c:ptCount val="30"/>
                <c:pt idx="0">
                  <c:v>0</c:v>
                </c:pt>
                <c:pt idx="1">
                  <c:v>0</c:v>
                </c:pt>
                <c:pt idx="2">
                  <c:v>0</c:v>
                </c:pt>
                <c:pt idx="3">
                  <c:v>24216744.97144356</c:v>
                </c:pt>
                <c:pt idx="4">
                  <c:v>48163713.76865682</c:v>
                </c:pt>
                <c:pt idx="5">
                  <c:v>71790092.928208709</c:v>
                </c:pt>
                <c:pt idx="6">
                  <c:v>95040351.766281798</c:v>
                </c:pt>
                <c:pt idx="7">
                  <c:v>117872375.86739364</c:v>
                </c:pt>
                <c:pt idx="8">
                  <c:v>140250573.29875162</c:v>
                </c:pt>
                <c:pt idx="9">
                  <c:v>162145265.9572295</c:v>
                </c:pt>
                <c:pt idx="10">
                  <c:v>183532099.16470701</c:v>
                </c:pt>
                <c:pt idx="11">
                  <c:v>204392119.98691276</c:v>
                </c:pt>
                <c:pt idx="12">
                  <c:v>224709596.71903241</c:v>
                </c:pt>
                <c:pt idx="13">
                  <c:v>244473129.59748968</c:v>
                </c:pt>
                <c:pt idx="14">
                  <c:v>263674683.51041493</c:v>
                </c:pt>
                <c:pt idx="15">
                  <c:v>282308701.42036343</c:v>
                </c:pt>
                <c:pt idx="16">
                  <c:v>300373305.7639311</c:v>
                </c:pt>
                <c:pt idx="17">
                  <c:v>317868625.00081438</c:v>
                </c:pt>
                <c:pt idx="18">
                  <c:v>334796897.06931108</c:v>
                </c:pt>
                <c:pt idx="19">
                  <c:v>351162579.96903515</c:v>
                </c:pt>
                <c:pt idx="20">
                  <c:v>366971005.37691486</c:v>
                </c:pt>
                <c:pt idx="21">
                  <c:v>382229281.6332469</c:v>
                </c:pt>
                <c:pt idx="22">
                  <c:v>396945727.49097836</c:v>
                </c:pt>
                <c:pt idx="23">
                  <c:v>411129697.53987736</c:v>
                </c:pt>
                <c:pt idx="24">
                  <c:v>424792006.76721007</c:v>
                </c:pt>
                <c:pt idx="25">
                  <c:v>437943035.65796566</c:v>
                </c:pt>
                <c:pt idx="26">
                  <c:v>450593768.76072848</c:v>
                </c:pt>
                <c:pt idx="27">
                  <c:v>462418363.52693665</c:v>
                </c:pt>
                <c:pt idx="28">
                  <c:v>473470080.41834569</c:v>
                </c:pt>
                <c:pt idx="29">
                  <c:v>483799453.13861543</c:v>
                </c:pt>
              </c:numCache>
            </c:numRef>
          </c:val>
          <c:smooth val="0"/>
          <c:extLst>
            <c:ext xmlns:c16="http://schemas.microsoft.com/office/drawing/2014/chart" uri="{C3380CC4-5D6E-409C-BE32-E72D297353CC}">
              <c16:uniqueId val="{00000001-A0BF-4FD9-B0EF-23CDAC8ACDA0}"/>
            </c:ext>
          </c:extLst>
        </c:ser>
        <c:dLbls>
          <c:showLegendKey val="0"/>
          <c:showVal val="0"/>
          <c:showCatName val="0"/>
          <c:showSerName val="0"/>
          <c:showPercent val="0"/>
          <c:showBubbleSize val="0"/>
        </c:dLbls>
        <c:smooth val="0"/>
        <c:axId val="525922239"/>
        <c:axId val="525926399"/>
      </c:lineChart>
      <c:catAx>
        <c:axId val="525922239"/>
        <c:scaling>
          <c:orientation val="minMax"/>
        </c:scaling>
        <c:delete val="0"/>
        <c:axPos val="b"/>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5926399"/>
        <c:crosses val="autoZero"/>
        <c:auto val="0"/>
        <c:lblAlgn val="ctr"/>
        <c:lblOffset val="100"/>
        <c:noMultiLvlLbl val="0"/>
      </c:catAx>
      <c:valAx>
        <c:axId val="52592639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5922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585787</xdr:colOff>
      <xdr:row>5</xdr:row>
      <xdr:rowOff>14286</xdr:rowOff>
    </xdr:from>
    <xdr:to>
      <xdr:col>19</xdr:col>
      <xdr:colOff>57150</xdr:colOff>
      <xdr:row>21</xdr:row>
      <xdr:rowOff>171449</xdr:rowOff>
    </xdr:to>
    <xdr:graphicFrame macro="">
      <xdr:nvGraphicFramePr>
        <xdr:cNvPr id="6" name="Chart 5">
          <a:extLst>
            <a:ext uri="{FF2B5EF4-FFF2-40B4-BE49-F238E27FC236}">
              <a16:creationId xmlns:a16="http://schemas.microsoft.com/office/drawing/2014/main" id="{0E582A2B-DDA6-42A7-89AF-23F82ACB4D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Price Armstrong" id="{061A7525-67A1-4ECD-8E47-48D276791778}" userId="S::parmstrong@camsys.com::6d2b5c14-e5a3-419f-b8da-671d7bcec85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38" dT="2022-05-16T13:39:30.50" personId="{061A7525-67A1-4ECD-8E47-48D276791778}" id="{618A013C-57EB-4BE4-BE5A-179B572A9356}">
    <text>This is because the average speed is higher in the build scenario</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transportation.gov/sites/dot.gov/files/2022-03/Benefit%20Cost%20Analysis%20Guidance%202022%20%28Revised%29.pdf" TargetMode="External"/><Relationship Id="rId2" Type="http://schemas.openxmlformats.org/officeDocument/2006/relationships/hyperlink" Target="https://static.tti.tamu.edu/tti.tamu.edu/documents/TTI-2020-8.pdf" TargetMode="External"/><Relationship Id="rId1" Type="http://schemas.openxmlformats.org/officeDocument/2006/relationships/hyperlink" Target="https://crashstats.nhtsa.dot.gov/Api/Public/ViewPublication/812013" TargetMode="External"/><Relationship Id="rId6" Type="http://schemas.openxmlformats.org/officeDocument/2006/relationships/hyperlink" Target="https://www.transportation.gov/sites/dot.gov/files/2022-03/Benefit%20Cost%20Analysis%20Guidance%202022%20%28Revised%29.pdf" TargetMode="External"/><Relationship Id="rId5" Type="http://schemas.openxmlformats.org/officeDocument/2006/relationships/hyperlink" Target="https://onlinepubs.trb.org/onlinepubs/nchrp/nchrp_rpt_552.pdf" TargetMode="External"/><Relationship Id="rId4" Type="http://schemas.openxmlformats.org/officeDocument/2006/relationships/hyperlink" Target="https://www.transportation.gov/sites/dot.gov/files/2022-03/Benefit%20Cost%20Analysis%20Guidance%202022%20%28Revised%29.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F41"/>
  <sheetViews>
    <sheetView workbookViewId="0">
      <selection activeCell="A7" sqref="A7"/>
    </sheetView>
  </sheetViews>
  <sheetFormatPr defaultRowHeight="14.4"/>
  <cols>
    <col min="1" max="1" width="137.6640625" bestFit="1" customWidth="1"/>
  </cols>
  <sheetData>
    <row r="2" spans="1:6" ht="22.8">
      <c r="A2" s="44" t="s">
        <v>269</v>
      </c>
    </row>
    <row r="4" spans="1:6" ht="22.8">
      <c r="A4" s="44" t="s">
        <v>218</v>
      </c>
    </row>
    <row r="5" spans="1:6" ht="22.8">
      <c r="A5" s="249" t="s">
        <v>205</v>
      </c>
    </row>
    <row r="8" spans="1:6">
      <c r="E8" s="182"/>
      <c r="F8" s="182"/>
    </row>
    <row r="9" spans="1:6">
      <c r="E9" s="182"/>
      <c r="F9" s="182"/>
    </row>
    <row r="10" spans="1:6">
      <c r="E10" s="182"/>
      <c r="F10" s="182"/>
    </row>
    <row r="11" spans="1:6">
      <c r="E11" s="182"/>
      <c r="F11" s="182"/>
    </row>
    <row r="12" spans="1:6">
      <c r="E12" s="182"/>
      <c r="F12" s="182"/>
    </row>
    <row r="13" spans="1:6">
      <c r="E13" s="182"/>
      <c r="F13" s="182"/>
    </row>
    <row r="14" spans="1:6">
      <c r="E14" s="182"/>
      <c r="F14" s="182"/>
    </row>
    <row r="15" spans="1:6">
      <c r="E15" s="182"/>
      <c r="F15" s="182"/>
    </row>
    <row r="16" spans="1:6">
      <c r="E16" s="182"/>
      <c r="F16" s="182"/>
    </row>
    <row r="17" spans="5:6">
      <c r="E17" s="182"/>
      <c r="F17" s="182"/>
    </row>
    <row r="18" spans="5:6">
      <c r="E18" s="182"/>
      <c r="F18" s="182"/>
    </row>
    <row r="19" spans="5:6">
      <c r="E19" s="182"/>
      <c r="F19" s="182"/>
    </row>
    <row r="20" spans="5:6">
      <c r="E20" s="182"/>
      <c r="F20" s="182"/>
    </row>
    <row r="21" spans="5:6">
      <c r="E21" s="182"/>
      <c r="F21" s="182"/>
    </row>
    <row r="22" spans="5:6">
      <c r="E22" s="182"/>
      <c r="F22" s="182"/>
    </row>
    <row r="23" spans="5:6">
      <c r="E23" s="182"/>
      <c r="F23" s="182"/>
    </row>
    <row r="24" spans="5:6">
      <c r="E24" s="182"/>
      <c r="F24" s="182"/>
    </row>
    <row r="25" spans="5:6">
      <c r="E25" s="182"/>
      <c r="F25" s="182"/>
    </row>
    <row r="26" spans="5:6">
      <c r="E26" s="182"/>
      <c r="F26" s="182"/>
    </row>
    <row r="27" spans="5:6">
      <c r="E27" s="182"/>
      <c r="F27" s="182"/>
    </row>
    <row r="28" spans="5:6">
      <c r="E28" s="182"/>
      <c r="F28" s="182"/>
    </row>
    <row r="29" spans="5:6">
      <c r="E29" s="182"/>
      <c r="F29" s="182"/>
    </row>
    <row r="30" spans="5:6">
      <c r="E30" s="182"/>
      <c r="F30" s="182"/>
    </row>
    <row r="31" spans="5:6">
      <c r="E31" s="182"/>
      <c r="F31" s="182"/>
    </row>
    <row r="32" spans="5:6">
      <c r="E32" s="182"/>
      <c r="F32" s="182"/>
    </row>
    <row r="33" spans="5:6">
      <c r="E33" s="182"/>
      <c r="F33" s="182"/>
    </row>
    <row r="34" spans="5:6">
      <c r="E34" s="182"/>
      <c r="F34" s="182"/>
    </row>
    <row r="35" spans="5:6">
      <c r="E35" s="182"/>
      <c r="F35" s="182"/>
    </row>
    <row r="36" spans="5:6">
      <c r="E36" s="182"/>
      <c r="F36" s="182"/>
    </row>
    <row r="37" spans="5:6">
      <c r="E37" s="182"/>
      <c r="F37" s="182"/>
    </row>
    <row r="38" spans="5:6">
      <c r="E38" s="182"/>
      <c r="F38" s="182"/>
    </row>
    <row r="39" spans="5:6">
      <c r="E39" s="182"/>
      <c r="F39" s="182"/>
    </row>
    <row r="40" spans="5:6">
      <c r="E40" s="182"/>
      <c r="F40" s="182"/>
    </row>
    <row r="41" spans="5:6">
      <c r="E41" s="182"/>
      <c r="F41" s="18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W72"/>
  <sheetViews>
    <sheetView workbookViewId="0">
      <selection activeCell="C6" sqref="C6"/>
    </sheetView>
  </sheetViews>
  <sheetFormatPr defaultRowHeight="14.4"/>
  <cols>
    <col min="2" max="2" width="13" style="161" customWidth="1"/>
    <col min="3" max="3" width="15.33203125" bestFit="1" customWidth="1"/>
    <col min="4" max="4" width="14.33203125" bestFit="1" customWidth="1"/>
    <col min="5" max="5" width="15.33203125" bestFit="1" customWidth="1"/>
    <col min="6" max="6" width="5.5546875" customWidth="1"/>
    <col min="7" max="7" width="15.33203125" bestFit="1" customWidth="1"/>
    <col min="8" max="8" width="14.33203125" bestFit="1" customWidth="1"/>
    <col min="9" max="9" width="15.33203125" bestFit="1" customWidth="1"/>
    <col min="10" max="10" width="8.44140625" style="245" customWidth="1"/>
    <col min="11" max="11" width="14.5546875" customWidth="1"/>
    <col min="12" max="12" width="18.44140625" bestFit="1" customWidth="1"/>
    <col min="13" max="13" width="17.44140625" bestFit="1" customWidth="1"/>
    <col min="14" max="14" width="15.109375" customWidth="1"/>
    <col min="16" max="16" width="16.33203125" bestFit="1" customWidth="1"/>
    <col min="17" max="18" width="16" customWidth="1"/>
    <col min="19" max="19" width="18.33203125" style="245" customWidth="1"/>
    <col min="20" max="20" width="15" customWidth="1"/>
    <col min="21" max="21" width="16.33203125" bestFit="1" customWidth="1"/>
    <col min="22" max="22" width="16" bestFit="1" customWidth="1"/>
    <col min="23" max="23" width="16.33203125" bestFit="1" customWidth="1"/>
    <col min="26" max="27" width="13.6640625" customWidth="1"/>
    <col min="28" max="28" width="14" customWidth="1"/>
  </cols>
  <sheetData>
    <row r="1" spans="1:23" s="182" customFormat="1" ht="22.8">
      <c r="A1" s="271" t="str">
        <f>'Title Sheet'!$A$2</f>
        <v>Benefit-Cost Analysis Spreadsheet for the Illinois International Port - Calumet Bridges Rehabilitation Project</v>
      </c>
      <c r="B1" s="161"/>
      <c r="C1" s="185"/>
      <c r="J1" s="245"/>
      <c r="P1" s="211" t="s">
        <v>161</v>
      </c>
      <c r="Q1" s="211" t="s">
        <v>13</v>
      </c>
      <c r="S1" s="245"/>
      <c r="U1" s="211" t="s">
        <v>161</v>
      </c>
      <c r="V1" s="211" t="s">
        <v>13</v>
      </c>
    </row>
    <row r="2" spans="1:23">
      <c r="C2" s="485"/>
      <c r="D2" s="485"/>
      <c r="E2" s="485"/>
      <c r="G2" s="485"/>
      <c r="H2" s="485"/>
      <c r="I2" s="485"/>
      <c r="L2" s="485"/>
      <c r="M2" s="485"/>
      <c r="N2" s="485"/>
      <c r="P2" s="251">
        <f>'Default Values'!C6*'Default Values'!C13</f>
        <v>29.725999999999999</v>
      </c>
      <c r="Q2" s="251">
        <f>'Default Values'!C5*'Default Values'!C12</f>
        <v>36.479999999999997</v>
      </c>
      <c r="R2" s="368"/>
      <c r="U2" s="251">
        <f>P2</f>
        <v>29.725999999999999</v>
      </c>
      <c r="V2" s="251">
        <f>Q2</f>
        <v>36.479999999999997</v>
      </c>
    </row>
    <row r="3" spans="1:23">
      <c r="C3" s="40"/>
      <c r="D3" s="40"/>
      <c r="E3" s="40"/>
      <c r="G3" s="40"/>
      <c r="H3" s="40"/>
      <c r="I3" s="40"/>
      <c r="O3" s="182"/>
      <c r="W3" s="182"/>
    </row>
    <row r="4" spans="1:23">
      <c r="A4" s="182"/>
      <c r="B4" s="358"/>
      <c r="C4" s="484" t="s">
        <v>10</v>
      </c>
      <c r="D4" s="484"/>
      <c r="E4" s="484"/>
      <c r="F4" s="182"/>
      <c r="G4" s="484" t="s">
        <v>11</v>
      </c>
      <c r="H4" s="484"/>
      <c r="I4" s="484"/>
      <c r="K4" s="484" t="s">
        <v>206</v>
      </c>
      <c r="L4" s="484"/>
      <c r="M4" s="484"/>
      <c r="O4" s="484" t="s">
        <v>12</v>
      </c>
      <c r="P4" s="484"/>
      <c r="Q4" s="484"/>
      <c r="R4" s="484"/>
      <c r="T4" s="484" t="s">
        <v>15</v>
      </c>
      <c r="U4" s="484"/>
      <c r="V4" s="484"/>
      <c r="W4" s="484"/>
    </row>
    <row r="5" spans="1:23">
      <c r="A5" s="253" t="s">
        <v>18</v>
      </c>
      <c r="B5" s="359" t="s">
        <v>1</v>
      </c>
      <c r="C5" s="359" t="s">
        <v>161</v>
      </c>
      <c r="D5" s="359" t="s">
        <v>13</v>
      </c>
      <c r="E5" s="359" t="s">
        <v>6</v>
      </c>
      <c r="F5" s="253"/>
      <c r="G5" s="359" t="s">
        <v>161</v>
      </c>
      <c r="H5" s="359" t="s">
        <v>13</v>
      </c>
      <c r="I5" s="359" t="s">
        <v>6</v>
      </c>
      <c r="K5" s="366" t="s">
        <v>161</v>
      </c>
      <c r="L5" s="366" t="s">
        <v>13</v>
      </c>
      <c r="M5" s="366" t="s">
        <v>6</v>
      </c>
      <c r="O5" s="369" t="s">
        <v>1</v>
      </c>
      <c r="P5" s="359" t="s">
        <v>161</v>
      </c>
      <c r="Q5" s="359" t="s">
        <v>13</v>
      </c>
      <c r="R5" s="359" t="s">
        <v>6</v>
      </c>
      <c r="T5" s="369" t="s">
        <v>1</v>
      </c>
      <c r="U5" s="359" t="s">
        <v>161</v>
      </c>
      <c r="V5" s="359" t="s">
        <v>13</v>
      </c>
      <c r="W5" s="359" t="s">
        <v>6</v>
      </c>
    </row>
    <row r="6" spans="1:23">
      <c r="A6" s="182">
        <v>1.4025517307000004</v>
      </c>
      <c r="B6" s="358">
        <v>2025</v>
      </c>
      <c r="C6" s="360">
        <f>'TDM Data'!H18</f>
        <v>362189807.88</v>
      </c>
      <c r="D6" s="361">
        <f>'TDM Data'!H19</f>
        <v>32172390.859999999</v>
      </c>
      <c r="E6" s="362">
        <f>'TDM Data'!H20</f>
        <v>394362198.74000001</v>
      </c>
      <c r="F6" s="182"/>
      <c r="G6" s="360">
        <f>'TDM Data'!H5</f>
        <v>361636661.88</v>
      </c>
      <c r="H6" s="361">
        <f>'TDM Data'!H6</f>
        <v>32233601.289999999</v>
      </c>
      <c r="I6" s="362">
        <f>'TDM Data'!H7</f>
        <v>393870263.17000002</v>
      </c>
      <c r="K6" s="367">
        <f t="shared" ref="K6:K9" si="0">G6-C6</f>
        <v>-553146</v>
      </c>
      <c r="L6" s="367">
        <f t="shared" ref="L6:L9" si="1">H6-D6</f>
        <v>61210.429999999702</v>
      </c>
      <c r="M6" s="367">
        <f t="shared" ref="M6:M9" si="2">SUM(K6:L6)</f>
        <v>-491935.5700000003</v>
      </c>
      <c r="O6" s="370">
        <v>2025</v>
      </c>
      <c r="P6" s="371">
        <f t="shared" ref="P6:P35" si="3">(C6*P$2)</f>
        <v>10766454229.04088</v>
      </c>
      <c r="Q6" s="371">
        <f t="shared" ref="Q6:Q35" si="4">(D6*Q$2)</f>
        <v>1173648818.5727999</v>
      </c>
      <c r="R6" s="371">
        <f t="shared" ref="R6" si="5">P6+Q6</f>
        <v>11940103047.61368</v>
      </c>
      <c r="T6" s="138"/>
      <c r="U6" s="363"/>
      <c r="V6" s="364"/>
      <c r="W6" s="363"/>
    </row>
    <row r="7" spans="1:23">
      <c r="A7" s="182">
        <v>1.5007303518490005</v>
      </c>
      <c r="B7" s="358">
        <f t="shared" ref="B7:B29" si="6">B6+1</f>
        <v>2026</v>
      </c>
      <c r="C7" s="363">
        <f>C6*(1+'TDM Data'!I$23)</f>
        <v>364289580.97094107</v>
      </c>
      <c r="D7" s="364">
        <f>D6*(1+'TDM Data'!I$24)</f>
        <v>32406106.7560197</v>
      </c>
      <c r="E7" s="363">
        <f t="shared" ref="E7:E29" si="7">C7+D7</f>
        <v>396695687.72696078</v>
      </c>
      <c r="G7" s="363">
        <f>G6*(1+'TDM Data'!I$10)</f>
        <v>363689746.04324037</v>
      </c>
      <c r="H7" s="363">
        <f>H6*(1+'TDM Data'!I$11)</f>
        <v>32469290.588701565</v>
      </c>
      <c r="I7" s="363">
        <f t="shared" ref="I7:I29" si="8">G7+H7</f>
        <v>396159036.63194191</v>
      </c>
      <c r="K7" s="367">
        <f t="shared" si="0"/>
        <v>-599834.92770069838</v>
      </c>
      <c r="L7" s="367">
        <f t="shared" si="1"/>
        <v>63183.8326818645</v>
      </c>
      <c r="M7" s="367">
        <f t="shared" si="2"/>
        <v>-536651.09501883388</v>
      </c>
      <c r="O7" s="370">
        <f>O6+1</f>
        <v>2026</v>
      </c>
      <c r="P7" s="371">
        <f t="shared" si="3"/>
        <v>10828872083.942194</v>
      </c>
      <c r="Q7" s="371">
        <f t="shared" si="4"/>
        <v>1182174774.4595985</v>
      </c>
      <c r="R7" s="371">
        <f t="shared" ref="R7:R25" si="9">P7+Q7</f>
        <v>12011046858.401793</v>
      </c>
      <c r="T7" s="370">
        <v>2025</v>
      </c>
      <c r="U7" s="371">
        <f t="shared" ref="U7:U36" si="10">(G6*U$2)</f>
        <v>10750011411.04488</v>
      </c>
      <c r="V7" s="371">
        <f t="shared" ref="V7:V36" si="11">(H6*V$2)</f>
        <v>1175881775.0591998</v>
      </c>
      <c r="W7" s="371">
        <f t="shared" ref="W7" si="12">U7+V7</f>
        <v>11925893186.10408</v>
      </c>
    </row>
    <row r="8" spans="1:23">
      <c r="A8" s="182">
        <v>1.6057814764784306</v>
      </c>
      <c r="B8" s="358">
        <f t="shared" si="6"/>
        <v>2027</v>
      </c>
      <c r="C8" s="363">
        <f>C7*(1+'TDM Data'!I$23)</f>
        <v>366401527.36697662</v>
      </c>
      <c r="D8" s="364">
        <f>D7*(1+'TDM Data'!I$24)</f>
        <v>32641520.477988675</v>
      </c>
      <c r="E8" s="363">
        <f t="shared" si="7"/>
        <v>399043047.84496528</v>
      </c>
      <c r="G8" s="363">
        <f>G7*(1+'TDM Data'!I$10)</f>
        <v>365754485.97876728</v>
      </c>
      <c r="H8" s="363">
        <f>H7*(1+'TDM Data'!I$11)</f>
        <v>32706703.227126256</v>
      </c>
      <c r="I8" s="363">
        <f t="shared" si="8"/>
        <v>398461189.20589352</v>
      </c>
      <c r="K8" s="367">
        <f t="shared" si="0"/>
        <v>-647041.38820934296</v>
      </c>
      <c r="L8" s="367">
        <f t="shared" si="1"/>
        <v>65182.749137580395</v>
      </c>
      <c r="M8" s="367">
        <f t="shared" si="2"/>
        <v>-581858.63907176256</v>
      </c>
      <c r="O8" s="370">
        <f t="shared" ref="O8:O35" si="13">O7+1</f>
        <v>2027</v>
      </c>
      <c r="P8" s="371">
        <f t="shared" si="3"/>
        <v>10891651802.510746</v>
      </c>
      <c r="Q8" s="371">
        <f t="shared" si="4"/>
        <v>1190762667.0370269</v>
      </c>
      <c r="R8" s="371">
        <f t="shared" si="9"/>
        <v>12082414469.547773</v>
      </c>
      <c r="S8" s="376"/>
      <c r="T8" s="370">
        <f>T7+1</f>
        <v>2026</v>
      </c>
      <c r="U8" s="371">
        <f t="shared" si="10"/>
        <v>10811041390.881363</v>
      </c>
      <c r="V8" s="371">
        <f t="shared" si="11"/>
        <v>1184479720.675833</v>
      </c>
      <c r="W8" s="371">
        <f t="shared" ref="W8:W26" si="14">U8+V8</f>
        <v>11995521111.557196</v>
      </c>
    </row>
    <row r="9" spans="1:23">
      <c r="A9" s="182">
        <v>1.7181861798319209</v>
      </c>
      <c r="B9" s="358">
        <f t="shared" si="6"/>
        <v>2028</v>
      </c>
      <c r="C9" s="363">
        <f>C8*(1+'TDM Data'!I$23)</f>
        <v>368525717.64209276</v>
      </c>
      <c r="D9" s="364">
        <f>D8*(1+'TDM Data'!I$24)</f>
        <v>32878644.359740451</v>
      </c>
      <c r="E9" s="363">
        <f t="shared" si="7"/>
        <v>401404362.0018332</v>
      </c>
      <c r="G9" s="363">
        <f>G8*(1+'TDM Data'!I$10)</f>
        <v>367830947.85874748</v>
      </c>
      <c r="H9" s="363">
        <f>H8*(1+'TDM Data'!I$11)</f>
        <v>32945851.806184754</v>
      </c>
      <c r="I9" s="363">
        <f t="shared" si="8"/>
        <v>400776799.66493225</v>
      </c>
      <c r="K9" s="367">
        <f t="shared" si="0"/>
        <v>-694769.78334528208</v>
      </c>
      <c r="L9" s="367">
        <f t="shared" si="1"/>
        <v>67207.446444302797</v>
      </c>
      <c r="M9" s="367">
        <f t="shared" si="2"/>
        <v>-627562.33690097928</v>
      </c>
      <c r="O9" s="370">
        <f t="shared" si="13"/>
        <v>2028</v>
      </c>
      <c r="P9" s="371">
        <f t="shared" si="3"/>
        <v>10954795482.628849</v>
      </c>
      <c r="Q9" s="371">
        <f t="shared" si="4"/>
        <v>1199412946.2433314</v>
      </c>
      <c r="R9" s="371">
        <f t="shared" si="9"/>
        <v>12154208428.872181</v>
      </c>
      <c r="T9" s="370">
        <f t="shared" ref="T9:T36" si="15">T8+1</f>
        <v>2027</v>
      </c>
      <c r="U9" s="371">
        <f t="shared" si="10"/>
        <v>10872417850.204836</v>
      </c>
      <c r="V9" s="371">
        <f t="shared" si="11"/>
        <v>1193140533.7255657</v>
      </c>
      <c r="W9" s="371">
        <f t="shared" si="14"/>
        <v>12065558383.930401</v>
      </c>
    </row>
    <row r="10" spans="1:23">
      <c r="A10" s="182">
        <v>1.8384592124201555</v>
      </c>
      <c r="B10" s="375">
        <f t="shared" si="6"/>
        <v>2029</v>
      </c>
      <c r="C10" s="363">
        <f>C9*(1+'TDM Data'!I$23)</f>
        <v>370662222.77942395</v>
      </c>
      <c r="D10" s="364">
        <f>D9*(1+'TDM Data'!I$24)</f>
        <v>33117490.824707519</v>
      </c>
      <c r="E10" s="365">
        <f t="shared" si="7"/>
        <v>403779713.60413146</v>
      </c>
      <c r="F10" s="55"/>
      <c r="G10" s="363">
        <f>G9*(1+'TDM Data'!I$10)</f>
        <v>369919198.23102051</v>
      </c>
      <c r="H10" s="363">
        <f>H9*(1+'TDM Data'!I$11)</f>
        <v>33186749.018924505</v>
      </c>
      <c r="I10" s="365">
        <f t="shared" si="8"/>
        <v>403105947.24994504</v>
      </c>
      <c r="K10" s="367">
        <f>G10-C10</f>
        <v>-743024.54840344191</v>
      </c>
      <c r="L10" s="367">
        <f>H10-D10</f>
        <v>69258.194216985255</v>
      </c>
      <c r="M10" s="367">
        <f>SUM(K10:L10)</f>
        <v>-673766.35418645665</v>
      </c>
      <c r="O10" s="370">
        <f t="shared" si="13"/>
        <v>2029</v>
      </c>
      <c r="P10" s="371">
        <f t="shared" si="3"/>
        <v>11018305234.341156</v>
      </c>
      <c r="Q10" s="371">
        <f t="shared" si="4"/>
        <v>1208126065.2853303</v>
      </c>
      <c r="R10" s="371">
        <f t="shared" si="9"/>
        <v>12226431299.626486</v>
      </c>
      <c r="T10" s="370">
        <f t="shared" si="15"/>
        <v>2028</v>
      </c>
      <c r="U10" s="371">
        <f t="shared" si="10"/>
        <v>10934142756.049128</v>
      </c>
      <c r="V10" s="371">
        <f t="shared" si="11"/>
        <v>1201864673.8896198</v>
      </c>
      <c r="W10" s="371">
        <f t="shared" si="14"/>
        <v>12136007429.938747</v>
      </c>
    </row>
    <row r="11" spans="1:23">
      <c r="A11" s="182">
        <v>1.9671513572895665</v>
      </c>
      <c r="B11" s="375">
        <f t="shared" si="6"/>
        <v>2030</v>
      </c>
      <c r="C11" s="365">
        <f>C10*(1+'TDM Data'!I$23)</f>
        <v>372811114.17362493</v>
      </c>
      <c r="D11" s="365">
        <f>D10*(1+'TDM Data'!I$24)</f>
        <v>33358072.386572231</v>
      </c>
      <c r="E11" s="365">
        <f t="shared" si="7"/>
        <v>406169186.56019717</v>
      </c>
      <c r="F11" s="55"/>
      <c r="G11" s="363">
        <f>G10*(1+'TDM Data'!I$10)</f>
        <v>372019304.02123123</v>
      </c>
      <c r="H11" s="363">
        <f>H10*(1+'TDM Data'!I$11)</f>
        <v>33429407.65120342</v>
      </c>
      <c r="I11" s="365">
        <f t="shared" si="8"/>
        <v>405448711.67243463</v>
      </c>
      <c r="J11" s="378"/>
      <c r="K11" s="367">
        <f t="shared" ref="K11:L35" si="16">G11-C11</f>
        <v>-791810.15239369869</v>
      </c>
      <c r="L11" s="367">
        <f t="shared" si="16"/>
        <v>71335.264631189406</v>
      </c>
      <c r="M11" s="367">
        <f t="shared" ref="M11:M35" si="17">SUM(K11:L11)</f>
        <v>-720474.88776250929</v>
      </c>
      <c r="O11" s="370">
        <f t="shared" si="13"/>
        <v>2030</v>
      </c>
      <c r="P11" s="371">
        <f t="shared" si="3"/>
        <v>11082183179.925175</v>
      </c>
      <c r="Q11" s="371">
        <f t="shared" si="4"/>
        <v>1216902480.6621549</v>
      </c>
      <c r="R11" s="371">
        <f t="shared" si="9"/>
        <v>12299085660.58733</v>
      </c>
      <c r="T11" s="370">
        <f t="shared" si="15"/>
        <v>2029</v>
      </c>
      <c r="U11" s="371">
        <f t="shared" si="10"/>
        <v>10996218086.615314</v>
      </c>
      <c r="V11" s="371">
        <f t="shared" si="11"/>
        <v>1210652604.2103658</v>
      </c>
      <c r="W11" s="371">
        <f t="shared" si="14"/>
        <v>12206870690.82568</v>
      </c>
    </row>
    <row r="12" spans="1:23">
      <c r="A12" s="182">
        <v>2.1048519522998363</v>
      </c>
      <c r="B12" s="375">
        <f t="shared" si="6"/>
        <v>2031</v>
      </c>
      <c r="C12" s="365">
        <f>C11*(1+'TDM Data'!I$23)</f>
        <v>374972463.63325661</v>
      </c>
      <c r="D12" s="365">
        <f>D11*(1+'TDM Data'!I$24)</f>
        <v>33600401.649922408</v>
      </c>
      <c r="E12" s="365">
        <f t="shared" si="7"/>
        <v>408572865.28317904</v>
      </c>
      <c r="F12" s="55"/>
      <c r="G12" s="363">
        <f>G11*(1+'TDM Data'!I$10)</f>
        <v>374131332.53497505</v>
      </c>
      <c r="H12" s="363">
        <f>H11*(1+'TDM Data'!I$11)</f>
        <v>33673840.582368493</v>
      </c>
      <c r="I12" s="365">
        <f t="shared" si="8"/>
        <v>407805173.11734354</v>
      </c>
      <c r="K12" s="367">
        <f t="shared" si="16"/>
        <v>-841131.09828156233</v>
      </c>
      <c r="L12" s="367">
        <f t="shared" si="16"/>
        <v>73438.932446084917</v>
      </c>
      <c r="M12" s="367">
        <f t="shared" si="17"/>
        <v>-767692.16583547741</v>
      </c>
      <c r="O12" s="370">
        <f t="shared" si="13"/>
        <v>2031</v>
      </c>
      <c r="P12" s="371">
        <f t="shared" si="3"/>
        <v>11146431453.962185</v>
      </c>
      <c r="Q12" s="371">
        <f t="shared" si="4"/>
        <v>1225742652.1891694</v>
      </c>
      <c r="R12" s="371">
        <f t="shared" si="9"/>
        <v>12372174106.151354</v>
      </c>
      <c r="T12" s="370">
        <f t="shared" si="15"/>
        <v>2030</v>
      </c>
      <c r="U12" s="371">
        <f t="shared" si="10"/>
        <v>11058645831.335119</v>
      </c>
      <c r="V12" s="371">
        <f t="shared" si="11"/>
        <v>1219504791.1159008</v>
      </c>
      <c r="W12" s="371">
        <f t="shared" si="14"/>
        <v>12278150622.451019</v>
      </c>
    </row>
    <row r="13" spans="1:23">
      <c r="A13" s="182">
        <v>2.2521915889608248</v>
      </c>
      <c r="B13" s="375">
        <f t="shared" si="6"/>
        <v>2032</v>
      </c>
      <c r="C13" s="365">
        <f>C12*(1+'TDM Data'!I$23)</f>
        <v>377146343.38318557</v>
      </c>
      <c r="D13" s="365">
        <f>D12*(1+'TDM Data'!I$24)</f>
        <v>33844491.310911737</v>
      </c>
      <c r="E13" s="365">
        <f t="shared" si="7"/>
        <v>410990834.69409728</v>
      </c>
      <c r="F13" s="55"/>
      <c r="G13" s="363">
        <f>G12*(1+'TDM Data'!I$10)</f>
        <v>376255351.45995462</v>
      </c>
      <c r="H13" s="363">
        <f>H12*(1+'TDM Data'!I$11)</f>
        <v>33920060.785939388</v>
      </c>
      <c r="I13" s="365">
        <f t="shared" si="8"/>
        <v>410175412.24589401</v>
      </c>
      <c r="K13" s="367">
        <f t="shared" si="16"/>
        <v>-890991.92323094606</v>
      </c>
      <c r="L13" s="367">
        <f t="shared" si="16"/>
        <v>75569.475027650595</v>
      </c>
      <c r="M13" s="367">
        <f t="shared" si="17"/>
        <v>-815422.44820329547</v>
      </c>
      <c r="O13" s="370">
        <f t="shared" si="13"/>
        <v>2032</v>
      </c>
      <c r="P13" s="371">
        <f t="shared" si="3"/>
        <v>11211052203.408573</v>
      </c>
      <c r="Q13" s="371">
        <f t="shared" si="4"/>
        <v>1234647043.0220602</v>
      </c>
      <c r="R13" s="371">
        <f t="shared" si="9"/>
        <v>12445699246.430634</v>
      </c>
      <c r="T13" s="370">
        <f t="shared" si="15"/>
        <v>2031</v>
      </c>
      <c r="U13" s="371">
        <f t="shared" si="10"/>
        <v>11121427990.934668</v>
      </c>
      <c r="V13" s="371">
        <f t="shared" si="11"/>
        <v>1228421704.4448025</v>
      </c>
      <c r="W13" s="371">
        <f t="shared" si="14"/>
        <v>12349849695.379471</v>
      </c>
    </row>
    <row r="14" spans="1:23">
      <c r="A14" s="182">
        <v>2.4098450001880827</v>
      </c>
      <c r="B14" s="375">
        <f t="shared" si="6"/>
        <v>2033</v>
      </c>
      <c r="C14" s="365">
        <f>C13*(1+'TDM Data'!I$23)</f>
        <v>379332826.06699765</v>
      </c>
      <c r="D14" s="365">
        <f>D13*(1+'TDM Data'!I$24)</f>
        <v>34090354.157924928</v>
      </c>
      <c r="E14" s="365">
        <f t="shared" si="7"/>
        <v>413423180.2249226</v>
      </c>
      <c r="F14" s="55"/>
      <c r="G14" s="363">
        <f>G13*(1+'TDM Data'!I$10)</f>
        <v>378391428.86814946</v>
      </c>
      <c r="H14" s="363">
        <f>H13*(1+'TDM Data'!I$11)</f>
        <v>34168081.330297016</v>
      </c>
      <c r="I14" s="365">
        <f t="shared" si="8"/>
        <v>412559510.19844645</v>
      </c>
      <c r="K14" s="367">
        <f t="shared" si="16"/>
        <v>-941397.19884818792</v>
      </c>
      <c r="L14" s="367">
        <f t="shared" si="16"/>
        <v>77727.172372087836</v>
      </c>
      <c r="M14" s="367">
        <f t="shared" si="17"/>
        <v>-863670.02647610009</v>
      </c>
      <c r="O14" s="370">
        <f t="shared" si="13"/>
        <v>2033</v>
      </c>
      <c r="P14" s="371">
        <f t="shared" si="3"/>
        <v>11276047587.667572</v>
      </c>
      <c r="Q14" s="371">
        <f t="shared" si="4"/>
        <v>1243616119.6811013</v>
      </c>
      <c r="R14" s="371">
        <f t="shared" si="9"/>
        <v>12519663707.348673</v>
      </c>
      <c r="T14" s="370">
        <f t="shared" si="15"/>
        <v>2032</v>
      </c>
      <c r="U14" s="371">
        <f t="shared" si="10"/>
        <v>11184566577.498611</v>
      </c>
      <c r="V14" s="371">
        <f t="shared" si="11"/>
        <v>1237403817.4710689</v>
      </c>
      <c r="W14" s="371">
        <f t="shared" si="14"/>
        <v>12421970394.969681</v>
      </c>
    </row>
    <row r="15" spans="1:23">
      <c r="A15" s="182">
        <v>2.5785341502012487</v>
      </c>
      <c r="B15" s="375">
        <f t="shared" si="6"/>
        <v>2034</v>
      </c>
      <c r="C15" s="365">
        <f>C14*(1+'TDM Data'!I$23)</f>
        <v>381531984.74942535</v>
      </c>
      <c r="D15" s="365">
        <f>D14*(1+'TDM Data'!I$24)</f>
        <v>34338003.072247744</v>
      </c>
      <c r="E15" s="365">
        <f t="shared" si="7"/>
        <v>415869987.8216731</v>
      </c>
      <c r="F15" s="55"/>
      <c r="G15" s="363">
        <f>G14*(1+'TDM Data'!I$10)</f>
        <v>380539633.21799731</v>
      </c>
      <c r="H15" s="363">
        <f>H14*(1+'TDM Data'!I$11)</f>
        <v>34417915.379377164</v>
      </c>
      <c r="I15" s="365">
        <f t="shared" si="8"/>
        <v>414957548.5973745</v>
      </c>
      <c r="K15" s="367">
        <f t="shared" si="16"/>
        <v>-992351.53142803907</v>
      </c>
      <c r="L15" s="367">
        <f t="shared" si="16"/>
        <v>79912.30712942034</v>
      </c>
      <c r="M15" s="367">
        <f t="shared" si="17"/>
        <v>-912439.22429861873</v>
      </c>
      <c r="O15" s="370">
        <f t="shared" si="13"/>
        <v>2034</v>
      </c>
      <c r="P15" s="371">
        <f t="shared" si="3"/>
        <v>11341419778.661417</v>
      </c>
      <c r="Q15" s="371">
        <f t="shared" si="4"/>
        <v>1252650352.0755975</v>
      </c>
      <c r="R15" s="371">
        <f t="shared" si="9"/>
        <v>12594070130.737015</v>
      </c>
      <c r="T15" s="370">
        <f t="shared" si="15"/>
        <v>2033</v>
      </c>
      <c r="U15" s="371">
        <f t="shared" si="10"/>
        <v>11248063614.534611</v>
      </c>
      <c r="V15" s="371">
        <f t="shared" si="11"/>
        <v>1246451606.929235</v>
      </c>
      <c r="W15" s="371">
        <f t="shared" si="14"/>
        <v>12494515221.463846</v>
      </c>
    </row>
    <row r="16" spans="1:23">
      <c r="A16" s="182">
        <v>2.7590315407153363</v>
      </c>
      <c r="B16" s="375">
        <f t="shared" si="6"/>
        <v>2035</v>
      </c>
      <c r="C16" s="365">
        <f>C15*(1+'TDM Data'!I$23)</f>
        <v>383743892.91878945</v>
      </c>
      <c r="D16" s="365">
        <f>D15*(1+'TDM Data'!I$24)</f>
        <v>34587451.028741881</v>
      </c>
      <c r="E16" s="365">
        <f t="shared" si="7"/>
        <v>418331343.94753134</v>
      </c>
      <c r="F16" s="55"/>
      <c r="G16" s="363">
        <f>G15*(1+'TDM Data'!I$10)</f>
        <v>382700033.35658836</v>
      </c>
      <c r="H16" s="363">
        <f>H15*(1+'TDM Data'!I$11)</f>
        <v>34669576.193369173</v>
      </c>
      <c r="I16" s="365">
        <f t="shared" si="8"/>
        <v>417369609.54995751</v>
      </c>
      <c r="K16" s="367">
        <f t="shared" si="16"/>
        <v>-1043859.5622010827</v>
      </c>
      <c r="L16" s="367">
        <f t="shared" si="16"/>
        <v>82125.164627291262</v>
      </c>
      <c r="M16" s="367">
        <f t="shared" si="17"/>
        <v>-961734.39757379144</v>
      </c>
      <c r="O16" s="370">
        <f t="shared" si="13"/>
        <v>2035</v>
      </c>
      <c r="P16" s="371">
        <f t="shared" si="3"/>
        <v>11407170960.903934</v>
      </c>
      <c r="Q16" s="371">
        <f t="shared" si="4"/>
        <v>1261750213.5285037</v>
      </c>
      <c r="R16" s="371">
        <f t="shared" si="9"/>
        <v>12668921174.432438</v>
      </c>
      <c r="T16" s="370">
        <f t="shared" si="15"/>
        <v>2034</v>
      </c>
      <c r="U16" s="371">
        <f t="shared" si="10"/>
        <v>11311921137.038187</v>
      </c>
      <c r="V16" s="371">
        <f t="shared" si="11"/>
        <v>1255565553.0396788</v>
      </c>
      <c r="W16" s="371">
        <f t="shared" si="14"/>
        <v>12567486690.077866</v>
      </c>
    </row>
    <row r="17" spans="1:23">
      <c r="A17" s="182">
        <v>2.9521637485654102</v>
      </c>
      <c r="B17" s="375">
        <f t="shared" si="6"/>
        <v>2036</v>
      </c>
      <c r="C17" s="365">
        <f>C16*(1+'TDM Data'!I$23)</f>
        <v>385968624.48945481</v>
      </c>
      <c r="D17" s="365">
        <f>D16*(1+'TDM Data'!I$24)</f>
        <v>34838711.09652473</v>
      </c>
      <c r="E17" s="365">
        <f t="shared" si="7"/>
        <v>420807335.58597952</v>
      </c>
      <c r="F17" s="55"/>
      <c r="G17" s="363">
        <f>G16*(1+'TDM Data'!I$10)</f>
        <v>384872698.52187151</v>
      </c>
      <c r="H17" s="363">
        <f>H16*(1+'TDM Data'!I$11)</f>
        <v>34923077.129419737</v>
      </c>
      <c r="I17" s="365">
        <f t="shared" si="8"/>
        <v>419795775.65129125</v>
      </c>
      <c r="K17" s="367">
        <f t="shared" si="16"/>
        <v>-1095925.9675832987</v>
      </c>
      <c r="L17" s="367">
        <f t="shared" si="16"/>
        <v>84366.032895006239</v>
      </c>
      <c r="M17" s="367">
        <f t="shared" si="17"/>
        <v>-1011559.9346882924</v>
      </c>
      <c r="O17" s="370">
        <f t="shared" si="13"/>
        <v>2036</v>
      </c>
      <c r="P17" s="371">
        <f t="shared" si="3"/>
        <v>11473303331.573534</v>
      </c>
      <c r="Q17" s="371">
        <f t="shared" si="4"/>
        <v>1270916180.8012221</v>
      </c>
      <c r="R17" s="371">
        <f t="shared" si="9"/>
        <v>12744219512.374756</v>
      </c>
      <c r="T17" s="370">
        <f t="shared" si="15"/>
        <v>2035</v>
      </c>
      <c r="U17" s="371">
        <f t="shared" si="10"/>
        <v>11376141191.557945</v>
      </c>
      <c r="V17" s="371">
        <f t="shared" si="11"/>
        <v>1264746139.5341072</v>
      </c>
      <c r="W17" s="371">
        <f t="shared" si="14"/>
        <v>12640887331.092052</v>
      </c>
    </row>
    <row r="18" spans="1:23">
      <c r="A18" s="182">
        <v>3.1588152109649892</v>
      </c>
      <c r="B18" s="375">
        <f t="shared" si="6"/>
        <v>2037</v>
      </c>
      <c r="C18" s="365">
        <f>C17*(1+'TDM Data'!I$23)</f>
        <v>388206253.80430019</v>
      </c>
      <c r="D18" s="365">
        <f>D17*(1+'TDM Data'!I$24)</f>
        <v>35091796.439654119</v>
      </c>
      <c r="E18" s="365">
        <f t="shared" si="7"/>
        <v>423298050.2439543</v>
      </c>
      <c r="F18" s="55"/>
      <c r="G18" s="363">
        <f>G17*(1+'TDM Data'!I$10)</f>
        <v>387057698.34487349</v>
      </c>
      <c r="H18" s="363">
        <f>H17*(1+'TDM Data'!I$11)</f>
        <v>35178431.642341852</v>
      </c>
      <c r="I18" s="365">
        <f t="shared" si="8"/>
        <v>422236129.98721534</v>
      </c>
      <c r="K18" s="367">
        <f t="shared" si="16"/>
        <v>-1148555.4594267011</v>
      </c>
      <c r="L18" s="367">
        <f t="shared" si="16"/>
        <v>86635.202687732875</v>
      </c>
      <c r="M18" s="367">
        <f t="shared" si="17"/>
        <v>-1061920.2567389682</v>
      </c>
      <c r="O18" s="370">
        <f t="shared" si="13"/>
        <v>2037</v>
      </c>
      <c r="P18" s="371">
        <f t="shared" si="3"/>
        <v>11539819100.586628</v>
      </c>
      <c r="Q18" s="371">
        <f t="shared" si="4"/>
        <v>1280148734.1185822</v>
      </c>
      <c r="R18" s="371">
        <f t="shared" si="9"/>
        <v>12819967834.70521</v>
      </c>
      <c r="T18" s="370">
        <f t="shared" si="15"/>
        <v>2036</v>
      </c>
      <c r="U18" s="371">
        <f t="shared" si="10"/>
        <v>11440725836.261152</v>
      </c>
      <c r="V18" s="371">
        <f t="shared" si="11"/>
        <v>1273993853.681232</v>
      </c>
      <c r="W18" s="371">
        <f t="shared" si="14"/>
        <v>12714719689.942385</v>
      </c>
    </row>
    <row r="19" spans="1:23">
      <c r="A19" s="182">
        <v>3.3799322757325387</v>
      </c>
      <c r="B19" s="375">
        <f t="shared" si="6"/>
        <v>2038</v>
      </c>
      <c r="C19" s="365">
        <f>C18*(1+'TDM Data'!I$23)</f>
        <v>390456855.63720262</v>
      </c>
      <c r="D19" s="365">
        <f>D18*(1+'TDM Data'!I$24)</f>
        <v>35346720.317817979</v>
      </c>
      <c r="E19" s="365">
        <f t="shared" si="7"/>
        <v>425803575.95502061</v>
      </c>
      <c r="F19" s="55"/>
      <c r="G19" s="363">
        <f>G18*(1+'TDM Data'!I$10)</f>
        <v>389255102.85193038</v>
      </c>
      <c r="H19" s="363">
        <f>H18*(1+'TDM Data'!I$11)</f>
        <v>35435653.28532894</v>
      </c>
      <c r="I19" s="365">
        <f t="shared" si="8"/>
        <v>424690756.1372593</v>
      </c>
      <c r="K19" s="367">
        <f t="shared" si="16"/>
        <v>-1201752.7852722406</v>
      </c>
      <c r="L19" s="367">
        <f t="shared" si="16"/>
        <v>88932.967510960996</v>
      </c>
      <c r="M19" s="367">
        <f t="shared" si="17"/>
        <v>-1112819.8177612796</v>
      </c>
      <c r="O19" s="370">
        <f t="shared" si="13"/>
        <v>2038</v>
      </c>
      <c r="P19" s="371">
        <f t="shared" si="3"/>
        <v>11606720490.671484</v>
      </c>
      <c r="Q19" s="371">
        <f t="shared" si="4"/>
        <v>1289448357.1939998</v>
      </c>
      <c r="R19" s="371">
        <f t="shared" si="9"/>
        <v>12896168847.865484</v>
      </c>
      <c r="T19" s="370">
        <f t="shared" si="15"/>
        <v>2037</v>
      </c>
      <c r="U19" s="371">
        <f t="shared" si="10"/>
        <v>11505677140.999708</v>
      </c>
      <c r="V19" s="371">
        <f t="shared" si="11"/>
        <v>1283309186.3126307</v>
      </c>
      <c r="W19" s="371">
        <f t="shared" si="14"/>
        <v>12788986327.31234</v>
      </c>
    </row>
    <row r="20" spans="1:23">
      <c r="A20" s="182">
        <v>3.6165275350338169</v>
      </c>
      <c r="B20" s="375">
        <f t="shared" si="6"/>
        <v>2039</v>
      </c>
      <c r="C20" s="365">
        <f>C19*(1+'TDM Data'!I$23)</f>
        <v>392720505.19553614</v>
      </c>
      <c r="D20" s="365">
        <f>D19*(1+'TDM Data'!I$24)</f>
        <v>35603496.087029077</v>
      </c>
      <c r="E20" s="365">
        <f t="shared" si="7"/>
        <v>428324001.28256524</v>
      </c>
      <c r="F20" s="55"/>
      <c r="G20" s="363">
        <f>G19*(1+'TDM Data'!I$10)</f>
        <v>391464982.46693182</v>
      </c>
      <c r="H20" s="363">
        <f>H19*(1+'TDM Data'!I$11)</f>
        <v>35694755.710674196</v>
      </c>
      <c r="I20" s="365">
        <f t="shared" si="8"/>
        <v>427159738.17760599</v>
      </c>
      <c r="K20" s="367">
        <f t="shared" si="16"/>
        <v>-1255522.7286043167</v>
      </c>
      <c r="L20" s="367">
        <f t="shared" si="16"/>
        <v>91259.623645119369</v>
      </c>
      <c r="M20" s="367">
        <f t="shared" si="17"/>
        <v>-1164263.1049591973</v>
      </c>
      <c r="O20" s="370">
        <f t="shared" si="13"/>
        <v>2039</v>
      </c>
      <c r="P20" s="371">
        <f t="shared" si="3"/>
        <v>11674009737.442507</v>
      </c>
      <c r="Q20" s="371">
        <f t="shared" si="4"/>
        <v>1298815537.2548206</v>
      </c>
      <c r="R20" s="371">
        <f t="shared" si="9"/>
        <v>12972825274.697327</v>
      </c>
      <c r="T20" s="370">
        <f t="shared" si="15"/>
        <v>2038</v>
      </c>
      <c r="U20" s="371">
        <f t="shared" si="10"/>
        <v>11570997187.376482</v>
      </c>
      <c r="V20" s="371">
        <f t="shared" si="11"/>
        <v>1292692631.8487997</v>
      </c>
      <c r="W20" s="371">
        <f t="shared" si="14"/>
        <v>12863689819.225281</v>
      </c>
    </row>
    <row r="21" spans="1:23">
      <c r="A21" s="182">
        <v>3.8696844624861844</v>
      </c>
      <c r="B21" s="375">
        <f t="shared" si="6"/>
        <v>2040</v>
      </c>
      <c r="C21" s="365">
        <f>C20*(1+'TDM Data'!I$23)</f>
        <v>394997278.12268484</v>
      </c>
      <c r="D21" s="365">
        <f>D20*(1+'TDM Data'!I$24)</f>
        <v>35862137.200324751</v>
      </c>
      <c r="E21" s="365">
        <f t="shared" si="7"/>
        <v>430859415.32300961</v>
      </c>
      <c r="F21" s="55"/>
      <c r="G21" s="363">
        <f>G20*(1+'TDM Data'!I$10)</f>
        <v>393687408.01357818</v>
      </c>
      <c r="H21" s="363">
        <f>H20*(1+'TDM Data'!I$11)</f>
        <v>35955752.670495205</v>
      </c>
      <c r="I21" s="365">
        <f t="shared" si="8"/>
        <v>429643160.68407339</v>
      </c>
      <c r="K21" s="367">
        <f t="shared" si="16"/>
        <v>-1309870.1091066599</v>
      </c>
      <c r="L21" s="367">
        <f t="shared" si="16"/>
        <v>93615.470170453191</v>
      </c>
      <c r="M21" s="367">
        <f t="shared" si="17"/>
        <v>-1216254.6389362067</v>
      </c>
      <c r="O21" s="370">
        <f t="shared" si="13"/>
        <v>2040</v>
      </c>
      <c r="P21" s="371">
        <f t="shared" si="3"/>
        <v>11741689089.47493</v>
      </c>
      <c r="Q21" s="371">
        <f t="shared" si="4"/>
        <v>1308250765.0678468</v>
      </c>
      <c r="R21" s="371">
        <f t="shared" si="9"/>
        <v>13049939854.542776</v>
      </c>
      <c r="T21" s="370">
        <f t="shared" si="15"/>
        <v>2039</v>
      </c>
      <c r="U21" s="371">
        <f t="shared" si="10"/>
        <v>11636688068.812016</v>
      </c>
      <c r="V21" s="371">
        <f t="shared" si="11"/>
        <v>1302144688.3253946</v>
      </c>
      <c r="W21" s="371">
        <f t="shared" si="14"/>
        <v>12938832757.137409</v>
      </c>
    </row>
    <row r="22" spans="1:23">
      <c r="A22" s="182">
        <v>4.1405623748602176</v>
      </c>
      <c r="B22" s="375">
        <f t="shared" si="6"/>
        <v>2041</v>
      </c>
      <c r="C22" s="365">
        <f>C21*(1+'TDM Data'!I$23)</f>
        <v>397287250.50057071</v>
      </c>
      <c r="D22" s="365">
        <f>D21*(1+'TDM Data'!I$24)</f>
        <v>36122657.208471745</v>
      </c>
      <c r="E22" s="365">
        <f t="shared" si="7"/>
        <v>433409907.70904243</v>
      </c>
      <c r="F22" s="55"/>
      <c r="G22" s="363">
        <f>G21*(1+'TDM Data'!I$10)</f>
        <v>395922450.71765012</v>
      </c>
      <c r="H22" s="363">
        <f>H21*(1+'TDM Data'!I$11)</f>
        <v>36218658.017463841</v>
      </c>
      <c r="I22" s="365">
        <f t="shared" si="8"/>
        <v>432141108.73511398</v>
      </c>
      <c r="K22" s="367">
        <f t="shared" si="16"/>
        <v>-1364799.782920599</v>
      </c>
      <c r="L22" s="367">
        <f t="shared" si="16"/>
        <v>96000.808992095292</v>
      </c>
      <c r="M22" s="367">
        <f t="shared" si="17"/>
        <v>-1268798.9739285037</v>
      </c>
      <c r="O22" s="370">
        <f t="shared" si="13"/>
        <v>2041</v>
      </c>
      <c r="P22" s="371">
        <f t="shared" si="3"/>
        <v>11809760808.379965</v>
      </c>
      <c r="Q22" s="371">
        <f t="shared" si="4"/>
        <v>1317754534.9650493</v>
      </c>
      <c r="R22" s="371">
        <f t="shared" si="9"/>
        <v>13127515343.345015</v>
      </c>
      <c r="T22" s="370">
        <f t="shared" si="15"/>
        <v>2040</v>
      </c>
      <c r="U22" s="371">
        <f t="shared" si="10"/>
        <v>11702751890.611624</v>
      </c>
      <c r="V22" s="371">
        <f t="shared" si="11"/>
        <v>1311665857.4196649</v>
      </c>
      <c r="W22" s="371">
        <f t="shared" si="14"/>
        <v>13014417748.031288</v>
      </c>
    </row>
    <row r="23" spans="1:23">
      <c r="A23" s="182">
        <v>4.4304017411004333</v>
      </c>
      <c r="B23" s="375">
        <f t="shared" si="6"/>
        <v>2042</v>
      </c>
      <c r="C23" s="365">
        <f>C22*(1+'TDM Data'!I$23)</f>
        <v>399590498.85219592</v>
      </c>
      <c r="D23" s="365">
        <f>D22*(1+'TDM Data'!I$24)</f>
        <v>36385069.76067616</v>
      </c>
      <c r="E23" s="365">
        <f t="shared" si="7"/>
        <v>435975568.61287206</v>
      </c>
      <c r="F23" s="55"/>
      <c r="G23" s="363">
        <f>G22*(1+'TDM Data'!I$10)</f>
        <v>398170182.2092914</v>
      </c>
      <c r="H23" s="363">
        <f>H22*(1+'TDM Data'!I$11)</f>
        <v>36483485.705541506</v>
      </c>
      <c r="I23" s="365">
        <f t="shared" si="8"/>
        <v>434653667.91483289</v>
      </c>
      <c r="K23" s="367">
        <f t="shared" si="16"/>
        <v>-1420316.64290452</v>
      </c>
      <c r="L23" s="367">
        <f t="shared" si="16"/>
        <v>98415.944865345955</v>
      </c>
      <c r="M23" s="367">
        <f t="shared" si="17"/>
        <v>-1321900.6980391741</v>
      </c>
      <c r="O23" s="370">
        <f t="shared" si="13"/>
        <v>2042</v>
      </c>
      <c r="P23" s="371">
        <f t="shared" si="3"/>
        <v>11878227168.880375</v>
      </c>
      <c r="Q23" s="371">
        <f t="shared" si="4"/>
        <v>1327327344.8694663</v>
      </c>
      <c r="R23" s="371">
        <f t="shared" si="9"/>
        <v>13205554513.749842</v>
      </c>
      <c r="T23" s="370">
        <f t="shared" si="15"/>
        <v>2041</v>
      </c>
      <c r="U23" s="371">
        <f t="shared" si="10"/>
        <v>11769190770.032867</v>
      </c>
      <c r="V23" s="371">
        <f t="shared" si="11"/>
        <v>1321256644.4770808</v>
      </c>
      <c r="W23" s="371">
        <f t="shared" si="14"/>
        <v>13090447414.509949</v>
      </c>
    </row>
    <row r="24" spans="1:23">
      <c r="A24" s="182">
        <v>4.7405298629774641</v>
      </c>
      <c r="B24" s="375">
        <f t="shared" si="6"/>
        <v>2043</v>
      </c>
      <c r="C24" s="365">
        <f>C23*(1+'TDM Data'!I$23)</f>
        <v>401907100.14420015</v>
      </c>
      <c r="D24" s="365">
        <f>D23*(1+'TDM Data'!I$24)</f>
        <v>36649388.605298571</v>
      </c>
      <c r="E24" s="365">
        <f t="shared" si="7"/>
        <v>438556488.74949872</v>
      </c>
      <c r="F24" s="55"/>
      <c r="G24" s="363">
        <f>G23*(1+'TDM Data'!I$10)</f>
        <v>400430674.52530462</v>
      </c>
      <c r="H24" s="363">
        <f>H23*(1+'TDM Data'!I$11)</f>
        <v>36750249.79071977</v>
      </c>
      <c r="I24" s="365">
        <f t="shared" si="8"/>
        <v>437180924.31602436</v>
      </c>
      <c r="K24" s="367">
        <f t="shared" si="16"/>
        <v>-1476425.6188955307</v>
      </c>
      <c r="L24" s="367">
        <f t="shared" si="16"/>
        <v>100861.18542119861</v>
      </c>
      <c r="M24" s="367">
        <f t="shared" si="17"/>
        <v>-1375564.4334743321</v>
      </c>
      <c r="O24" s="370">
        <f t="shared" si="13"/>
        <v>2043</v>
      </c>
      <c r="P24" s="371">
        <f t="shared" si="3"/>
        <v>11947090458.886494</v>
      </c>
      <c r="Q24" s="371">
        <f t="shared" si="4"/>
        <v>1336969696.3212917</v>
      </c>
      <c r="R24" s="371">
        <f t="shared" si="9"/>
        <v>13284060155.207785</v>
      </c>
      <c r="T24" s="370">
        <f t="shared" si="15"/>
        <v>2042</v>
      </c>
      <c r="U24" s="371">
        <f t="shared" si="10"/>
        <v>11836006836.353395</v>
      </c>
      <c r="V24" s="371">
        <f t="shared" si="11"/>
        <v>1330917558.5381541</v>
      </c>
      <c r="W24" s="371">
        <f t="shared" si="14"/>
        <v>13166924394.89155</v>
      </c>
    </row>
    <row r="25" spans="1:23">
      <c r="A25" s="182">
        <v>5.0723669533858873</v>
      </c>
      <c r="B25" s="375">
        <f t="shared" si="6"/>
        <v>2044</v>
      </c>
      <c r="C25" s="365">
        <f>C24*(1+'TDM Data'!I$23)</f>
        <v>404237131.78943229</v>
      </c>
      <c r="D25" s="365">
        <f>D24*(1+'TDM Data'!I$24)</f>
        <v>36915627.590574332</v>
      </c>
      <c r="E25" s="365">
        <f t="shared" si="7"/>
        <v>441152759.38000661</v>
      </c>
      <c r="F25" s="55"/>
      <c r="G25" s="363">
        <f>G24*(1+'TDM Data'!I$10)</f>
        <v>402704000.11145979</v>
      </c>
      <c r="H25" s="363">
        <f>H24*(1+'TDM Data'!I$11)</f>
        <v>37018964.431766391</v>
      </c>
      <c r="I25" s="365">
        <f t="shared" si="8"/>
        <v>439722964.54322618</v>
      </c>
      <c r="K25" s="367">
        <f t="shared" si="16"/>
        <v>-1533131.6779724956</v>
      </c>
      <c r="L25" s="367">
        <f t="shared" si="16"/>
        <v>103336.84119205922</v>
      </c>
      <c r="M25" s="367">
        <f t="shared" si="17"/>
        <v>-1429794.8367804363</v>
      </c>
      <c r="O25" s="370">
        <f t="shared" si="13"/>
        <v>2044</v>
      </c>
      <c r="P25" s="371">
        <f t="shared" si="3"/>
        <v>12016352979.572664</v>
      </c>
      <c r="Q25" s="371">
        <f t="shared" si="4"/>
        <v>1346682094.5041516</v>
      </c>
      <c r="R25" s="371">
        <f t="shared" si="9"/>
        <v>13363035074.076817</v>
      </c>
      <c r="T25" s="370">
        <f t="shared" si="15"/>
        <v>2043</v>
      </c>
      <c r="U25" s="371">
        <f t="shared" si="10"/>
        <v>11903202230.939205</v>
      </c>
      <c r="V25" s="371">
        <f t="shared" si="11"/>
        <v>1340649112.3654571</v>
      </c>
      <c r="W25" s="371">
        <f t="shared" si="14"/>
        <v>13243851343.304663</v>
      </c>
    </row>
    <row r="26" spans="1:23">
      <c r="A26" s="182">
        <v>5.4274326401229001</v>
      </c>
      <c r="B26" s="375">
        <f t="shared" si="6"/>
        <v>2045</v>
      </c>
      <c r="C26" s="365">
        <f>C25*(1+'TDM Data'!I$23)</f>
        <v>406580671.64953756</v>
      </c>
      <c r="D26" s="365">
        <f>D25*(1+'TDM Data'!I$24)</f>
        <v>37183800.66533912</v>
      </c>
      <c r="E26" s="365">
        <f t="shared" si="7"/>
        <v>443764472.31487668</v>
      </c>
      <c r="F26" s="55"/>
      <c r="G26" s="363">
        <f>G25*(1+'TDM Data'!I$10)</f>
        <v>404990231.82481611</v>
      </c>
      <c r="H26" s="363">
        <f>H25*(1+'TDM Data'!I$11)</f>
        <v>37289643.890976802</v>
      </c>
      <c r="I26" s="365">
        <f t="shared" si="8"/>
        <v>442279875.71579289</v>
      </c>
      <c r="K26" s="367">
        <f t="shared" si="16"/>
        <v>-1590439.8247214556</v>
      </c>
      <c r="L26" s="367">
        <f t="shared" si="16"/>
        <v>105843.22563768178</v>
      </c>
      <c r="M26" s="367">
        <f t="shared" si="17"/>
        <v>-1484596.5990837738</v>
      </c>
      <c r="O26" s="370">
        <f t="shared" si="13"/>
        <v>2045</v>
      </c>
      <c r="P26" s="371">
        <f t="shared" si="3"/>
        <v>12086017045.454153</v>
      </c>
      <c r="Q26" s="371">
        <f t="shared" si="4"/>
        <v>1356465048.2715709</v>
      </c>
      <c r="R26" s="371">
        <f t="shared" ref="R26:R35" si="18">P26+Q26</f>
        <v>13442482093.725723</v>
      </c>
      <c r="T26" s="370">
        <f t="shared" si="15"/>
        <v>2044</v>
      </c>
      <c r="U26" s="371">
        <f t="shared" si="10"/>
        <v>11970779107.313253</v>
      </c>
      <c r="V26" s="371">
        <f t="shared" si="11"/>
        <v>1350451822.4708378</v>
      </c>
      <c r="W26" s="371">
        <f t="shared" si="14"/>
        <v>13321230929.784092</v>
      </c>
    </row>
    <row r="27" spans="1:23">
      <c r="A27" s="182">
        <v>5.8073529249315037</v>
      </c>
      <c r="B27" s="375">
        <f t="shared" si="6"/>
        <v>2046</v>
      </c>
      <c r="C27" s="365">
        <f>C26*(1+'TDM Data'!I$23)</f>
        <v>408937798.03755927</v>
      </c>
      <c r="D27" s="365">
        <f>D26*(1+'TDM Data'!I$24)</f>
        <v>37453921.879759729</v>
      </c>
      <c r="E27" s="365">
        <f t="shared" si="7"/>
        <v>446391719.917319</v>
      </c>
      <c r="F27" s="55"/>
      <c r="G27" s="363">
        <f>G26*(1+'TDM Data'!I$10)</f>
        <v>407289442.93605703</v>
      </c>
      <c r="H27" s="363">
        <f>H26*(1+'TDM Data'!I$11)</f>
        <v>37562302.534931116</v>
      </c>
      <c r="I27" s="365">
        <f t="shared" si="8"/>
        <v>444851745.47098815</v>
      </c>
      <c r="K27" s="367">
        <f t="shared" si="16"/>
        <v>-1648355.1015022397</v>
      </c>
      <c r="L27" s="367">
        <f t="shared" si="16"/>
        <v>108380.6551713869</v>
      </c>
      <c r="M27" s="367">
        <f t="shared" si="17"/>
        <v>-1539974.4463308528</v>
      </c>
      <c r="O27" s="370">
        <f t="shared" si="13"/>
        <v>2046</v>
      </c>
      <c r="P27" s="371">
        <f t="shared" si="3"/>
        <v>12156084984.464487</v>
      </c>
      <c r="Q27" s="371">
        <f t="shared" si="4"/>
        <v>1366319070.1736348</v>
      </c>
      <c r="R27" s="371">
        <f t="shared" si="18"/>
        <v>13522404054.638123</v>
      </c>
      <c r="T27" s="370">
        <f t="shared" si="15"/>
        <v>2045</v>
      </c>
      <c r="U27" s="371">
        <f t="shared" si="10"/>
        <v>12038739631.224483</v>
      </c>
      <c r="V27" s="371">
        <f t="shared" si="11"/>
        <v>1360326209.1428337</v>
      </c>
      <c r="W27" s="371">
        <f t="shared" ref="W27:W36" si="19">U27+V27</f>
        <v>13399065840.367317</v>
      </c>
    </row>
    <row r="28" spans="1:23">
      <c r="A28" s="182">
        <v>6.2138676296767095</v>
      </c>
      <c r="B28" s="375">
        <f t="shared" si="6"/>
        <v>2047</v>
      </c>
      <c r="C28" s="365">
        <f>C27*(1+'TDM Data'!I$23)</f>
        <v>411308589.72055566</v>
      </c>
      <c r="D28" s="365">
        <f>D27*(1+'TDM Data'!I$24)</f>
        <v>37726005.386070207</v>
      </c>
      <c r="E28" s="365">
        <f t="shared" si="7"/>
        <v>449034595.10662585</v>
      </c>
      <c r="F28" s="55"/>
      <c r="G28" s="363">
        <f>G27*(1+'TDM Data'!I$10)</f>
        <v>409601707.13183838</v>
      </c>
      <c r="H28" s="363">
        <f>H27*(1+'TDM Data'!I$11)</f>
        <v>37836954.835256629</v>
      </c>
      <c r="I28" s="365">
        <f t="shared" si="8"/>
        <v>447438661.96709502</v>
      </c>
      <c r="K28" s="367">
        <f t="shared" si="16"/>
        <v>-1706882.5887172818</v>
      </c>
      <c r="L28" s="367">
        <f t="shared" si="16"/>
        <v>110949.44918642193</v>
      </c>
      <c r="M28" s="367">
        <f t="shared" si="17"/>
        <v>-1595933.1395308599</v>
      </c>
      <c r="O28" s="370">
        <f t="shared" si="13"/>
        <v>2047</v>
      </c>
      <c r="P28" s="371">
        <f t="shared" si="3"/>
        <v>12226559138.033237</v>
      </c>
      <c r="Q28" s="371">
        <f t="shared" si="4"/>
        <v>1376244676.4838409</v>
      </c>
      <c r="R28" s="371">
        <f t="shared" si="18"/>
        <v>13602803814.517078</v>
      </c>
      <c r="T28" s="370">
        <f t="shared" si="15"/>
        <v>2046</v>
      </c>
      <c r="U28" s="371">
        <f t="shared" si="10"/>
        <v>12107085980.717232</v>
      </c>
      <c r="V28" s="371">
        <f t="shared" si="11"/>
        <v>1370272796.474287</v>
      </c>
      <c r="W28" s="371">
        <f t="shared" si="19"/>
        <v>13477358777.191519</v>
      </c>
    </row>
    <row r="29" spans="1:23">
      <c r="A29" s="182">
        <v>6.6488383637540798</v>
      </c>
      <c r="B29" s="375">
        <f t="shared" si="6"/>
        <v>2048</v>
      </c>
      <c r="C29" s="365">
        <f>C28*(1+'TDM Data'!I$23)</f>
        <v>413693125.92223227</v>
      </c>
      <c r="D29" s="365">
        <f>D28*(1+'TDM Data'!I$24)</f>
        <v>38000065.439313307</v>
      </c>
      <c r="E29" s="365">
        <f t="shared" si="7"/>
        <v>451693191.36154556</v>
      </c>
      <c r="F29" s="55"/>
      <c r="G29" s="363">
        <f>G28*(1+'TDM Data'!I$10)</f>
        <v>411927098.51714998</v>
      </c>
      <c r="H29" s="363">
        <f>H28*(1+'TDM Data'!I$11)</f>
        <v>38113615.369395927</v>
      </c>
      <c r="I29" s="365">
        <f t="shared" si="8"/>
        <v>450040713.8865459</v>
      </c>
      <c r="K29" s="367">
        <f t="shared" si="16"/>
        <v>-1766027.4050822854</v>
      </c>
      <c r="L29" s="367">
        <f t="shared" si="16"/>
        <v>113549.93008261919</v>
      </c>
      <c r="M29" s="367">
        <f t="shared" si="17"/>
        <v>-1652477.4749996662</v>
      </c>
      <c r="O29" s="370">
        <f t="shared" si="13"/>
        <v>2048</v>
      </c>
      <c r="P29" s="371">
        <f t="shared" si="3"/>
        <v>12297441861.164276</v>
      </c>
      <c r="Q29" s="371">
        <f t="shared" si="4"/>
        <v>1386242387.2261493</v>
      </c>
      <c r="R29" s="371">
        <f t="shared" si="18"/>
        <v>13683684248.390425</v>
      </c>
      <c r="T29" s="370">
        <f t="shared" si="15"/>
        <v>2047</v>
      </c>
      <c r="U29" s="371">
        <f t="shared" si="10"/>
        <v>12175820346.201027</v>
      </c>
      <c r="V29" s="371">
        <f t="shared" si="11"/>
        <v>1380292112.3901618</v>
      </c>
      <c r="W29" s="371">
        <f t="shared" si="19"/>
        <v>13556112458.591188</v>
      </c>
    </row>
    <row r="30" spans="1:23">
      <c r="A30" s="182">
        <v>7.1142570492168655</v>
      </c>
      <c r="B30" s="375">
        <v>2049</v>
      </c>
      <c r="C30" s="365">
        <f>C29*(1+'TDM Data'!I$23)</f>
        <v>416091486.32558906</v>
      </c>
      <c r="D30" s="365">
        <f>D29*(1+'TDM Data'!I$24)</f>
        <v>38276116.398087353</v>
      </c>
      <c r="E30" s="365">
        <f t="shared" ref="E30:E35" si="20">C30+D30</f>
        <v>454367602.72367644</v>
      </c>
      <c r="F30" s="55"/>
      <c r="G30" s="363">
        <f>G29*(1+'TDM Data'!I$10)</f>
        <v>414265691.61769062</v>
      </c>
      <c r="H30" s="363">
        <f>H29*(1+'TDM Data'!I$11)</f>
        <v>38392298.821380578</v>
      </c>
      <c r="I30" s="365">
        <f t="shared" ref="I30:I35" si="21">G30+H30</f>
        <v>452657990.43907118</v>
      </c>
      <c r="K30" s="367">
        <f t="shared" si="16"/>
        <v>-1825794.707898438</v>
      </c>
      <c r="L30" s="367">
        <f t="shared" si="16"/>
        <v>116182.42329322547</v>
      </c>
      <c r="M30" s="367">
        <f t="shared" si="17"/>
        <v>-1709612.2846052125</v>
      </c>
      <c r="O30" s="370">
        <f t="shared" si="13"/>
        <v>2049</v>
      </c>
      <c r="P30" s="371">
        <f t="shared" si="3"/>
        <v>12368735522.51446</v>
      </c>
      <c r="Q30" s="371">
        <f t="shared" si="4"/>
        <v>1396312726.2022264</v>
      </c>
      <c r="R30" s="371">
        <f t="shared" si="18"/>
        <v>13765048248.716686</v>
      </c>
      <c r="T30" s="370">
        <f t="shared" si="15"/>
        <v>2048</v>
      </c>
      <c r="U30" s="371">
        <f t="shared" si="10"/>
        <v>12244944930.5208</v>
      </c>
      <c r="V30" s="371">
        <f t="shared" si="11"/>
        <v>1390384688.6755633</v>
      </c>
      <c r="W30" s="371">
        <f t="shared" si="19"/>
        <v>13635329619.196363</v>
      </c>
    </row>
    <row r="31" spans="1:23">
      <c r="A31" s="182">
        <v>7.6122550426620466</v>
      </c>
      <c r="B31" s="375">
        <v>2050</v>
      </c>
      <c r="C31" s="365">
        <f>C30*(1+'TDM Data'!I$23)</f>
        <v>418503751.0755834</v>
      </c>
      <c r="D31" s="365">
        <f>D30*(1+'TDM Data'!I$24)</f>
        <v>38554172.725298509</v>
      </c>
      <c r="E31" s="365">
        <f t="shared" si="20"/>
        <v>457057923.80088192</v>
      </c>
      <c r="F31" s="55"/>
      <c r="G31" s="363">
        <f>G30*(1+'TDM Data'!I$10)</f>
        <v>416617561.38225645</v>
      </c>
      <c r="H31" s="363">
        <f>H30*(1+'TDM Data'!I$11)</f>
        <v>38673019.982610531</v>
      </c>
      <c r="I31" s="365">
        <f t="shared" si="21"/>
        <v>455290581.36486697</v>
      </c>
      <c r="K31" s="367">
        <f t="shared" si="16"/>
        <v>-1886189.6933269501</v>
      </c>
      <c r="L31" s="367">
        <f t="shared" si="16"/>
        <v>118847.25731202215</v>
      </c>
      <c r="M31" s="367">
        <f t="shared" si="17"/>
        <v>-1767342.4360149279</v>
      </c>
      <c r="O31" s="370">
        <f t="shared" si="13"/>
        <v>2050</v>
      </c>
      <c r="P31" s="371">
        <f t="shared" si="3"/>
        <v>12440442504.472792</v>
      </c>
      <c r="Q31" s="371">
        <f t="shared" si="4"/>
        <v>1406456221.0188894</v>
      </c>
      <c r="R31" s="371">
        <f t="shared" si="18"/>
        <v>13846898725.49168</v>
      </c>
      <c r="T31" s="370">
        <f t="shared" si="15"/>
        <v>2049</v>
      </c>
      <c r="U31" s="371">
        <f t="shared" si="10"/>
        <v>12314461949.027472</v>
      </c>
      <c r="V31" s="371">
        <f t="shared" si="11"/>
        <v>1400551061.0039635</v>
      </c>
      <c r="W31" s="371">
        <f t="shared" si="19"/>
        <v>13715013010.031435</v>
      </c>
    </row>
    <row r="32" spans="1:23">
      <c r="A32" s="182">
        <v>8.1451128956483902</v>
      </c>
      <c r="B32" s="375">
        <v>2051</v>
      </c>
      <c r="C32" s="365">
        <f>C31</f>
        <v>418503751.0755834</v>
      </c>
      <c r="D32" s="365">
        <f>D31</f>
        <v>38554172.725298509</v>
      </c>
      <c r="E32" s="365">
        <f t="shared" si="20"/>
        <v>457057923.80088192</v>
      </c>
      <c r="F32" s="55"/>
      <c r="G32" s="365">
        <f>G31</f>
        <v>416617561.38225645</v>
      </c>
      <c r="H32" s="365">
        <f>H31</f>
        <v>38673019.982610531</v>
      </c>
      <c r="I32" s="365">
        <f t="shared" si="21"/>
        <v>455290581.36486697</v>
      </c>
      <c r="K32" s="367">
        <f t="shared" si="16"/>
        <v>-1886189.6933269501</v>
      </c>
      <c r="L32" s="367">
        <f t="shared" si="16"/>
        <v>118847.25731202215</v>
      </c>
      <c r="M32" s="367">
        <f t="shared" si="17"/>
        <v>-1767342.4360149279</v>
      </c>
      <c r="O32" s="370">
        <f t="shared" si="13"/>
        <v>2051</v>
      </c>
      <c r="P32" s="371">
        <f t="shared" si="3"/>
        <v>12440442504.472792</v>
      </c>
      <c r="Q32" s="371">
        <f t="shared" si="4"/>
        <v>1406456221.0188894</v>
      </c>
      <c r="R32" s="371">
        <f t="shared" si="18"/>
        <v>13846898725.49168</v>
      </c>
      <c r="T32" s="370">
        <f t="shared" si="15"/>
        <v>2050</v>
      </c>
      <c r="U32" s="371">
        <f t="shared" si="10"/>
        <v>12384373629.648954</v>
      </c>
      <c r="V32" s="371">
        <f t="shared" si="11"/>
        <v>1410791768.965632</v>
      </c>
      <c r="W32" s="371">
        <f t="shared" si="19"/>
        <v>13795165398.614586</v>
      </c>
    </row>
    <row r="33" spans="1:23">
      <c r="A33" s="182">
        <v>8.7152707983437789</v>
      </c>
      <c r="B33" s="375">
        <v>2052</v>
      </c>
      <c r="C33" s="365">
        <f t="shared" ref="C33:C35" si="22">C32</f>
        <v>418503751.0755834</v>
      </c>
      <c r="D33" s="365">
        <f t="shared" ref="D33:D35" si="23">D32</f>
        <v>38554172.725298509</v>
      </c>
      <c r="E33" s="365">
        <f t="shared" si="20"/>
        <v>457057923.80088192</v>
      </c>
      <c r="F33" s="55"/>
      <c r="G33" s="365">
        <f t="shared" ref="G33:G35" si="24">G32</f>
        <v>416617561.38225645</v>
      </c>
      <c r="H33" s="365">
        <f t="shared" ref="H33:H35" si="25">H32</f>
        <v>38673019.982610531</v>
      </c>
      <c r="I33" s="365">
        <f t="shared" si="21"/>
        <v>455290581.36486697</v>
      </c>
      <c r="K33" s="367">
        <f t="shared" si="16"/>
        <v>-1886189.6933269501</v>
      </c>
      <c r="L33" s="367">
        <f t="shared" si="16"/>
        <v>118847.25731202215</v>
      </c>
      <c r="M33" s="367">
        <f t="shared" si="17"/>
        <v>-1767342.4360149279</v>
      </c>
      <c r="O33" s="370">
        <f t="shared" si="13"/>
        <v>2052</v>
      </c>
      <c r="P33" s="371">
        <f t="shared" si="3"/>
        <v>12440442504.472792</v>
      </c>
      <c r="Q33" s="371">
        <f t="shared" si="4"/>
        <v>1406456221.0188894</v>
      </c>
      <c r="R33" s="371">
        <f t="shared" si="18"/>
        <v>13846898725.49168</v>
      </c>
      <c r="T33" s="370">
        <f t="shared" si="15"/>
        <v>2051</v>
      </c>
      <c r="U33" s="371">
        <f t="shared" si="10"/>
        <v>12384373629.648954</v>
      </c>
      <c r="V33" s="371">
        <f t="shared" si="11"/>
        <v>1410791768.965632</v>
      </c>
      <c r="W33" s="371">
        <f t="shared" si="19"/>
        <v>13795165398.614586</v>
      </c>
    </row>
    <row r="34" spans="1:23">
      <c r="A34" s="182">
        <v>9.3253397542278442</v>
      </c>
      <c r="B34" s="375">
        <v>2053</v>
      </c>
      <c r="C34" s="365">
        <f t="shared" si="22"/>
        <v>418503751.0755834</v>
      </c>
      <c r="D34" s="365">
        <f t="shared" si="23"/>
        <v>38554172.725298509</v>
      </c>
      <c r="E34" s="365">
        <f t="shared" si="20"/>
        <v>457057923.80088192</v>
      </c>
      <c r="F34" s="55"/>
      <c r="G34" s="365">
        <f t="shared" si="24"/>
        <v>416617561.38225645</v>
      </c>
      <c r="H34" s="365">
        <f t="shared" si="25"/>
        <v>38673019.982610531</v>
      </c>
      <c r="I34" s="365">
        <f t="shared" si="21"/>
        <v>455290581.36486697</v>
      </c>
      <c r="K34" s="367">
        <f t="shared" si="16"/>
        <v>-1886189.6933269501</v>
      </c>
      <c r="L34" s="367">
        <f t="shared" si="16"/>
        <v>118847.25731202215</v>
      </c>
      <c r="M34" s="367">
        <f t="shared" si="17"/>
        <v>-1767342.4360149279</v>
      </c>
      <c r="O34" s="370">
        <f t="shared" si="13"/>
        <v>2053</v>
      </c>
      <c r="P34" s="371">
        <f t="shared" si="3"/>
        <v>12440442504.472792</v>
      </c>
      <c r="Q34" s="371">
        <f t="shared" si="4"/>
        <v>1406456221.0188894</v>
      </c>
      <c r="R34" s="371">
        <f t="shared" si="18"/>
        <v>13846898725.49168</v>
      </c>
      <c r="T34" s="370">
        <f t="shared" si="15"/>
        <v>2052</v>
      </c>
      <c r="U34" s="371">
        <f t="shared" si="10"/>
        <v>12384373629.648954</v>
      </c>
      <c r="V34" s="371">
        <f t="shared" si="11"/>
        <v>1410791768.965632</v>
      </c>
      <c r="W34" s="371">
        <f t="shared" si="19"/>
        <v>13795165398.614586</v>
      </c>
    </row>
    <row r="35" spans="1:23">
      <c r="A35" s="226">
        <f t="shared" ref="A35" si="26">A34*1.07</f>
        <v>9.9781135370237948</v>
      </c>
      <c r="B35" s="375">
        <v>2054</v>
      </c>
      <c r="C35" s="365">
        <f t="shared" si="22"/>
        <v>418503751.0755834</v>
      </c>
      <c r="D35" s="365">
        <f t="shared" si="23"/>
        <v>38554172.725298509</v>
      </c>
      <c r="E35" s="365">
        <f t="shared" si="20"/>
        <v>457057923.80088192</v>
      </c>
      <c r="F35" s="55"/>
      <c r="G35" s="365">
        <f t="shared" si="24"/>
        <v>416617561.38225645</v>
      </c>
      <c r="H35" s="365">
        <f t="shared" si="25"/>
        <v>38673019.982610531</v>
      </c>
      <c r="I35" s="365">
        <f t="shared" si="21"/>
        <v>455290581.36486697</v>
      </c>
      <c r="K35" s="367">
        <f t="shared" si="16"/>
        <v>-1886189.6933269501</v>
      </c>
      <c r="L35" s="367">
        <f t="shared" si="16"/>
        <v>118847.25731202215</v>
      </c>
      <c r="M35" s="367">
        <f t="shared" si="17"/>
        <v>-1767342.4360149279</v>
      </c>
      <c r="O35" s="370">
        <f t="shared" si="13"/>
        <v>2054</v>
      </c>
      <c r="P35" s="371">
        <f t="shared" si="3"/>
        <v>12440442504.472792</v>
      </c>
      <c r="Q35" s="371">
        <f t="shared" si="4"/>
        <v>1406456221.0188894</v>
      </c>
      <c r="R35" s="371">
        <f t="shared" si="18"/>
        <v>13846898725.49168</v>
      </c>
      <c r="T35" s="370">
        <f t="shared" si="15"/>
        <v>2053</v>
      </c>
      <c r="U35" s="371">
        <f t="shared" si="10"/>
        <v>12384373629.648954</v>
      </c>
      <c r="V35" s="371">
        <f t="shared" si="11"/>
        <v>1410791768.965632</v>
      </c>
      <c r="W35" s="371">
        <f t="shared" si="19"/>
        <v>13795165398.614586</v>
      </c>
    </row>
    <row r="36" spans="1:23">
      <c r="A36" s="226"/>
      <c r="B36" s="376"/>
      <c r="C36" s="239"/>
      <c r="D36" s="239"/>
      <c r="E36" s="239"/>
      <c r="F36" s="55"/>
      <c r="G36" s="192"/>
      <c r="H36" s="192"/>
      <c r="I36" s="239"/>
      <c r="K36" s="379"/>
      <c r="L36" s="379"/>
      <c r="M36" s="379"/>
      <c r="N36" s="245"/>
      <c r="O36" s="245"/>
      <c r="P36" s="245"/>
      <c r="Q36" s="245"/>
      <c r="R36" s="245"/>
      <c r="T36" s="370">
        <f t="shared" si="15"/>
        <v>2054</v>
      </c>
      <c r="U36" s="371">
        <f t="shared" si="10"/>
        <v>12384373629.648954</v>
      </c>
      <c r="V36" s="371">
        <f t="shared" si="11"/>
        <v>1410791768.965632</v>
      </c>
      <c r="W36" s="371">
        <f t="shared" si="19"/>
        <v>13795165398.614586</v>
      </c>
    </row>
    <row r="37" spans="1:23">
      <c r="A37" s="226"/>
      <c r="B37" s="376"/>
      <c r="C37" s="239"/>
      <c r="D37" s="239"/>
      <c r="E37" s="239"/>
      <c r="F37" s="55"/>
      <c r="G37" s="192"/>
      <c r="H37" s="192"/>
      <c r="I37" s="239"/>
      <c r="K37" s="379"/>
      <c r="L37" s="379"/>
      <c r="M37" s="379"/>
      <c r="N37" s="245"/>
      <c r="O37" s="245"/>
      <c r="P37" s="245"/>
      <c r="Q37" s="245"/>
      <c r="R37" s="245"/>
    </row>
    <row r="38" spans="1:23">
      <c r="B38"/>
      <c r="F38" s="484" t="s">
        <v>17</v>
      </c>
      <c r="G38" s="484"/>
      <c r="H38" s="484"/>
      <c r="I38" s="484"/>
      <c r="K38" s="379"/>
      <c r="L38" s="379"/>
      <c r="M38" s="379"/>
      <c r="N38" s="245"/>
      <c r="O38" s="245"/>
      <c r="P38" s="245"/>
      <c r="Q38" s="245"/>
      <c r="R38" s="245"/>
    </row>
    <row r="39" spans="1:23">
      <c r="A39" s="484" t="s">
        <v>16</v>
      </c>
      <c r="B39" s="484"/>
      <c r="C39" s="484"/>
      <c r="D39" s="484"/>
      <c r="F39" s="484" t="s">
        <v>16</v>
      </c>
      <c r="G39" s="484"/>
      <c r="H39" s="484"/>
      <c r="I39" s="484"/>
      <c r="K39" s="379"/>
      <c r="L39" s="379"/>
      <c r="M39" s="379"/>
      <c r="N39" s="245"/>
      <c r="O39" s="245"/>
      <c r="P39" s="245"/>
      <c r="Q39" s="245"/>
      <c r="R39" s="245"/>
    </row>
    <row r="40" spans="1:23">
      <c r="A40" s="372" t="s">
        <v>1</v>
      </c>
      <c r="B40" s="372" t="s">
        <v>161</v>
      </c>
      <c r="C40" s="372" t="s">
        <v>13</v>
      </c>
      <c r="D40" s="372" t="s">
        <v>6</v>
      </c>
      <c r="E40" s="260"/>
      <c r="F40" s="372" t="s">
        <v>1</v>
      </c>
      <c r="G40" s="372" t="s">
        <v>161</v>
      </c>
      <c r="H40" s="372" t="s">
        <v>13</v>
      </c>
      <c r="I40" s="372" t="s">
        <v>6</v>
      </c>
      <c r="K40" s="245"/>
      <c r="L40" s="245"/>
      <c r="M40" s="245"/>
      <c r="N40" s="245"/>
      <c r="O40" s="245"/>
      <c r="P40" s="245"/>
      <c r="Q40" s="245"/>
      <c r="R40" s="245"/>
    </row>
    <row r="41" spans="1:23">
      <c r="A41" s="370">
        <v>2025</v>
      </c>
      <c r="B41" s="374">
        <f t="shared" ref="B41:B70" si="27">U7-P6</f>
        <v>-16442817.99600029</v>
      </c>
      <c r="C41" s="374">
        <f t="shared" ref="C41:C70" si="28">V7-Q6</f>
        <v>2232956.486399889</v>
      </c>
      <c r="D41" s="374">
        <f t="shared" ref="D41" si="29">B41+C41</f>
        <v>-14209861.509600401</v>
      </c>
      <c r="E41" s="254"/>
      <c r="F41" s="370">
        <v>2025</v>
      </c>
      <c r="G41" s="373">
        <f>B41/$A10</f>
        <v>-8943803.5311944149</v>
      </c>
      <c r="H41" s="373">
        <f>C41/$A10</f>
        <v>1214580.3786750403</v>
      </c>
      <c r="I41" s="373">
        <f t="shared" ref="I41" si="30">G41+H41</f>
        <v>-7729223.1525193751</v>
      </c>
      <c r="K41" s="380"/>
      <c r="L41" s="380"/>
      <c r="M41" s="380"/>
      <c r="N41" s="245"/>
      <c r="O41" s="245"/>
      <c r="P41" s="245"/>
      <c r="Q41" s="245"/>
      <c r="R41" s="245"/>
    </row>
    <row r="42" spans="1:23">
      <c r="A42" s="370">
        <f>A41+1</f>
        <v>2026</v>
      </c>
      <c r="B42" s="374">
        <f t="shared" si="27"/>
        <v>-17830693.06083107</v>
      </c>
      <c r="C42" s="374">
        <f t="shared" si="28"/>
        <v>2304946.2162344456</v>
      </c>
      <c r="D42" s="374">
        <f t="shared" ref="D42:D60" si="31">B42+C42</f>
        <v>-15525746.844596624</v>
      </c>
      <c r="E42" s="254"/>
      <c r="F42" s="370">
        <f>F41+1</f>
        <v>2026</v>
      </c>
      <c r="G42" s="373">
        <f t="shared" ref="G42:G70" si="32">B42/$A6</f>
        <v>-12713037.7229879</v>
      </c>
      <c r="H42" s="373">
        <f t="shared" ref="H42:H70" si="33">C42/$A6</f>
        <v>1643394.7966283343</v>
      </c>
      <c r="I42" s="373">
        <f t="shared" ref="I42:I60" si="34">G42+H42</f>
        <v>-11069642.926359566</v>
      </c>
      <c r="K42" s="245"/>
      <c r="L42" s="245"/>
      <c r="M42" s="245"/>
      <c r="N42" s="245"/>
      <c r="O42" s="245"/>
      <c r="P42" s="245"/>
      <c r="Q42" s="245"/>
      <c r="R42" s="245"/>
    </row>
    <row r="43" spans="1:23">
      <c r="A43" s="370">
        <f t="shared" ref="A43:A70" si="35">A42+1</f>
        <v>2027</v>
      </c>
      <c r="B43" s="374">
        <f t="shared" si="27"/>
        <v>-19233952.30591011</v>
      </c>
      <c r="C43" s="374">
        <f t="shared" si="28"/>
        <v>2377866.6885387897</v>
      </c>
      <c r="D43" s="374">
        <f t="shared" si="31"/>
        <v>-16856085.617371321</v>
      </c>
      <c r="E43" s="254"/>
      <c r="F43" s="370">
        <f t="shared" ref="F43:F70" si="36">F42+1</f>
        <v>2027</v>
      </c>
      <c r="G43" s="373">
        <f t="shared" si="32"/>
        <v>-12816394.552300878</v>
      </c>
      <c r="H43" s="373">
        <f t="shared" si="33"/>
        <v>1584472.9771801434</v>
      </c>
      <c r="I43" s="373">
        <f t="shared" si="34"/>
        <v>-11231921.575120734</v>
      </c>
      <c r="K43" s="245"/>
      <c r="L43" s="377"/>
      <c r="M43" s="377"/>
      <c r="N43" s="377"/>
      <c r="O43" s="245"/>
      <c r="P43" s="245"/>
      <c r="Q43" s="377"/>
      <c r="R43" s="377"/>
      <c r="S43" s="377"/>
    </row>
    <row r="44" spans="1:23">
      <c r="A44" s="370">
        <f t="shared" si="35"/>
        <v>2028</v>
      </c>
      <c r="B44" s="374">
        <f t="shared" si="27"/>
        <v>-20652726.579721451</v>
      </c>
      <c r="C44" s="374">
        <f t="shared" si="28"/>
        <v>2451727.6462883949</v>
      </c>
      <c r="D44" s="374">
        <f t="shared" si="31"/>
        <v>-18200998.933433056</v>
      </c>
      <c r="E44" s="254"/>
      <c r="F44" s="370">
        <f t="shared" si="36"/>
        <v>2028</v>
      </c>
      <c r="G44" s="373">
        <f t="shared" si="32"/>
        <v>-12861480.146734564</v>
      </c>
      <c r="H44" s="373">
        <f t="shared" si="33"/>
        <v>1526812.7588974135</v>
      </c>
      <c r="I44" s="373">
        <f t="shared" si="34"/>
        <v>-11334667.387837149</v>
      </c>
      <c r="J44" s="378"/>
      <c r="K44" s="245"/>
      <c r="L44" s="245"/>
      <c r="M44" s="245"/>
      <c r="N44" s="245"/>
      <c r="O44" s="245"/>
      <c r="P44" s="245"/>
      <c r="Q44" s="245"/>
      <c r="R44" s="245"/>
    </row>
    <row r="45" spans="1:23">
      <c r="A45" s="370">
        <f t="shared" si="35"/>
        <v>2029</v>
      </c>
      <c r="B45" s="374">
        <f t="shared" si="27"/>
        <v>-22087147.725841522</v>
      </c>
      <c r="C45" s="374">
        <f t="shared" si="28"/>
        <v>2526538.9250354767</v>
      </c>
      <c r="D45" s="374">
        <f t="shared" si="31"/>
        <v>-19560608.800806046</v>
      </c>
      <c r="E45" s="254"/>
      <c r="F45" s="370">
        <f t="shared" si="36"/>
        <v>2029</v>
      </c>
      <c r="G45" s="373">
        <f t="shared" si="32"/>
        <v>-12854921.070312744</v>
      </c>
      <c r="H45" s="373">
        <f t="shared" si="33"/>
        <v>1470468.6574086121</v>
      </c>
      <c r="I45" s="373">
        <f t="shared" si="34"/>
        <v>-11384452.412904132</v>
      </c>
      <c r="K45" s="245"/>
      <c r="L45" s="245"/>
      <c r="M45" s="245"/>
      <c r="N45" s="245"/>
      <c r="O45" s="245"/>
      <c r="P45" s="245"/>
      <c r="Q45" s="245"/>
      <c r="R45" s="245"/>
    </row>
    <row r="46" spans="1:23">
      <c r="A46" s="370">
        <f t="shared" si="35"/>
        <v>2030</v>
      </c>
      <c r="B46" s="374">
        <f t="shared" si="27"/>
        <v>-23537348.590055466</v>
      </c>
      <c r="C46" s="374">
        <f t="shared" si="28"/>
        <v>2602310.453745842</v>
      </c>
      <c r="D46" s="374">
        <f t="shared" si="31"/>
        <v>-20935038.136309624</v>
      </c>
      <c r="E46" s="254"/>
      <c r="F46" s="370">
        <f t="shared" si="36"/>
        <v>2030</v>
      </c>
      <c r="G46" s="373">
        <f t="shared" si="32"/>
        <v>-12802758.109096585</v>
      </c>
      <c r="H46" s="373">
        <f t="shared" si="33"/>
        <v>1415484.4644718277</v>
      </c>
      <c r="I46" s="373">
        <f t="shared" si="34"/>
        <v>-11387273.644624757</v>
      </c>
      <c r="K46" s="245"/>
      <c r="L46" s="245"/>
      <c r="M46" s="245"/>
      <c r="N46" s="245"/>
      <c r="O46" s="245"/>
      <c r="P46" s="245"/>
      <c r="Q46" s="245"/>
      <c r="R46" s="245"/>
    </row>
    <row r="47" spans="1:23">
      <c r="A47" s="370">
        <f t="shared" si="35"/>
        <v>2031</v>
      </c>
      <c r="B47" s="374">
        <f t="shared" si="27"/>
        <v>-25003463.027517319</v>
      </c>
      <c r="C47" s="374">
        <f t="shared" si="28"/>
        <v>2679052.2556331158</v>
      </c>
      <c r="D47" s="374">
        <f t="shared" si="31"/>
        <v>-22324410.771884203</v>
      </c>
      <c r="E47" s="254"/>
      <c r="F47" s="370">
        <f t="shared" si="36"/>
        <v>2031</v>
      </c>
      <c r="G47" s="373">
        <f t="shared" si="32"/>
        <v>-12710492.73095501</v>
      </c>
      <c r="H47" s="373">
        <f t="shared" si="33"/>
        <v>1361894.3177430129</v>
      </c>
      <c r="I47" s="373">
        <f t="shared" si="34"/>
        <v>-11348598.413211998</v>
      </c>
    </row>
    <row r="48" spans="1:23">
      <c r="A48" s="370">
        <f t="shared" si="35"/>
        <v>2032</v>
      </c>
      <c r="B48" s="374">
        <f t="shared" si="27"/>
        <v>-26485625.9099617</v>
      </c>
      <c r="C48" s="374">
        <f t="shared" si="28"/>
        <v>2756774.4490087032</v>
      </c>
      <c r="D48" s="374">
        <f t="shared" si="31"/>
        <v>-23728851.460952997</v>
      </c>
      <c r="E48" s="254"/>
      <c r="F48" s="370">
        <f t="shared" si="36"/>
        <v>2032</v>
      </c>
      <c r="G48" s="373">
        <f t="shared" si="32"/>
        <v>-12583130.077639218</v>
      </c>
      <c r="H48" s="373">
        <f t="shared" si="33"/>
        <v>1309723.6819893927</v>
      </c>
      <c r="I48" s="373">
        <f t="shared" si="34"/>
        <v>-11273406.395649826</v>
      </c>
    </row>
    <row r="49" spans="1:9">
      <c r="A49" s="370">
        <f t="shared" si="35"/>
        <v>2033</v>
      </c>
      <c r="B49" s="374">
        <f t="shared" si="27"/>
        <v>-27983973.132961273</v>
      </c>
      <c r="C49" s="374">
        <f t="shared" si="28"/>
        <v>2835487.2481336594</v>
      </c>
      <c r="D49" s="374">
        <f t="shared" si="31"/>
        <v>-25148485.884827614</v>
      </c>
      <c r="E49" s="254"/>
      <c r="F49" s="370">
        <f t="shared" si="36"/>
        <v>2033</v>
      </c>
      <c r="G49" s="373">
        <f t="shared" si="32"/>
        <v>-12425218.738106225</v>
      </c>
      <c r="H49" s="373">
        <f t="shared" si="33"/>
        <v>1258990.2484459463</v>
      </c>
      <c r="I49" s="373">
        <f t="shared" si="34"/>
        <v>-11166228.489660278</v>
      </c>
    </row>
    <row r="50" spans="1:9">
      <c r="A50" s="370">
        <f t="shared" si="35"/>
        <v>2034</v>
      </c>
      <c r="B50" s="374">
        <f t="shared" si="27"/>
        <v>-29498641.62322998</v>
      </c>
      <c r="C50" s="374">
        <f t="shared" si="28"/>
        <v>2915200.9640812874</v>
      </c>
      <c r="D50" s="374">
        <f t="shared" si="31"/>
        <v>-26583440.659148693</v>
      </c>
      <c r="E50" s="254"/>
      <c r="F50" s="370">
        <f t="shared" si="36"/>
        <v>2034</v>
      </c>
      <c r="G50" s="373">
        <f t="shared" si="32"/>
        <v>-12240887.534645457</v>
      </c>
      <c r="H50" s="373">
        <f t="shared" si="33"/>
        <v>1209704.7585441233</v>
      </c>
      <c r="I50" s="373">
        <f t="shared" si="34"/>
        <v>-11031182.776101334</v>
      </c>
    </row>
    <row r="51" spans="1:9">
      <c r="A51" s="370">
        <f t="shared" si="35"/>
        <v>2035</v>
      </c>
      <c r="B51" s="374">
        <f t="shared" si="27"/>
        <v>-31029769.345989227</v>
      </c>
      <c r="C51" s="374">
        <f t="shared" si="28"/>
        <v>2995926.0056035519</v>
      </c>
      <c r="D51" s="374">
        <f t="shared" si="31"/>
        <v>-28033843.340385675</v>
      </c>
      <c r="E51" s="254"/>
      <c r="F51" s="370">
        <f t="shared" si="36"/>
        <v>2035</v>
      </c>
      <c r="G51" s="373">
        <f t="shared" si="32"/>
        <v>-12033879.537165496</v>
      </c>
      <c r="H51" s="373">
        <f t="shared" si="33"/>
        <v>1161871.7577852234</v>
      </c>
      <c r="I51" s="373">
        <f t="shared" si="34"/>
        <v>-10872007.779380273</v>
      </c>
    </row>
    <row r="52" spans="1:9">
      <c r="A52" s="370">
        <f t="shared" si="35"/>
        <v>2036</v>
      </c>
      <c r="B52" s="374">
        <f t="shared" si="27"/>
        <v>-32577495.312381744</v>
      </c>
      <c r="C52" s="374">
        <f t="shared" si="28"/>
        <v>3077672.8800098896</v>
      </c>
      <c r="D52" s="374">
        <f t="shared" si="31"/>
        <v>-29499822.432371855</v>
      </c>
      <c r="E52" s="254"/>
      <c r="F52" s="370">
        <f t="shared" si="36"/>
        <v>2036</v>
      </c>
      <c r="G52" s="373">
        <f t="shared" si="32"/>
        <v>-11807583.505890386</v>
      </c>
      <c r="H52" s="373">
        <f t="shared" si="33"/>
        <v>1115490.2851208213</v>
      </c>
      <c r="I52" s="373">
        <f t="shared" si="34"/>
        <v>-10692093.220769566</v>
      </c>
    </row>
    <row r="53" spans="1:9">
      <c r="A53" s="370">
        <f t="shared" si="35"/>
        <v>2037</v>
      </c>
      <c r="B53" s="374">
        <f t="shared" si="27"/>
        <v>-34141959.586919785</v>
      </c>
      <c r="C53" s="374">
        <f t="shared" si="28"/>
        <v>3160452.1940484047</v>
      </c>
      <c r="D53" s="374">
        <f t="shared" si="31"/>
        <v>-30981507.39287138</v>
      </c>
      <c r="E53" s="254"/>
      <c r="F53" s="370">
        <f t="shared" si="36"/>
        <v>2037</v>
      </c>
      <c r="G53" s="373">
        <f t="shared" si="32"/>
        <v>-11565062.948662961</v>
      </c>
      <c r="H53" s="373">
        <f t="shared" si="33"/>
        <v>1070554.5028063606</v>
      </c>
      <c r="I53" s="373">
        <f t="shared" si="34"/>
        <v>-10494508.445856601</v>
      </c>
    </row>
    <row r="54" spans="1:9">
      <c r="A54" s="370">
        <f t="shared" si="35"/>
        <v>2038</v>
      </c>
      <c r="B54" s="374">
        <f t="shared" si="27"/>
        <v>-35723303.295001984</v>
      </c>
      <c r="C54" s="374">
        <f t="shared" si="28"/>
        <v>3244274.6547999382</v>
      </c>
      <c r="D54" s="374">
        <f t="shared" si="31"/>
        <v>-32479028.640202045</v>
      </c>
      <c r="E54" s="254"/>
      <c r="F54" s="370">
        <f t="shared" si="36"/>
        <v>2038</v>
      </c>
      <c r="G54" s="373">
        <f t="shared" si="32"/>
        <v>-11309082.965979779</v>
      </c>
      <c r="H54" s="373">
        <f t="shared" si="33"/>
        <v>1027054.2713414509</v>
      </c>
      <c r="I54" s="373">
        <f t="shared" si="34"/>
        <v>-10282028.694638329</v>
      </c>
    </row>
    <row r="55" spans="1:9">
      <c r="A55" s="370">
        <f t="shared" si="35"/>
        <v>2039</v>
      </c>
      <c r="B55" s="374">
        <f t="shared" si="27"/>
        <v>-37321668.630491257</v>
      </c>
      <c r="C55" s="374">
        <f t="shared" si="28"/>
        <v>3329151.0705740452</v>
      </c>
      <c r="D55" s="374">
        <f t="shared" si="31"/>
        <v>-33992517.559917212</v>
      </c>
      <c r="E55" s="254"/>
      <c r="F55" s="370">
        <f t="shared" si="36"/>
        <v>2039</v>
      </c>
      <c r="G55" s="373">
        <f t="shared" si="32"/>
        <v>-11042135.044674072</v>
      </c>
      <c r="H55" s="373">
        <f t="shared" si="33"/>
        <v>984975.67376627761</v>
      </c>
      <c r="I55" s="373">
        <f t="shared" si="34"/>
        <v>-10057159.370907795</v>
      </c>
    </row>
    <row r="56" spans="1:9">
      <c r="A56" s="370">
        <f t="shared" si="35"/>
        <v>2040</v>
      </c>
      <c r="B56" s="374">
        <f t="shared" si="27"/>
        <v>-38937198.863306046</v>
      </c>
      <c r="C56" s="374">
        <f t="shared" si="28"/>
        <v>3415092.3518180847</v>
      </c>
      <c r="D56" s="374">
        <f t="shared" si="31"/>
        <v>-35522106.511487961</v>
      </c>
      <c r="E56" s="254"/>
      <c r="F56" s="370">
        <f t="shared" si="36"/>
        <v>2040</v>
      </c>
      <c r="G56" s="373">
        <f t="shared" si="32"/>
        <v>-10766459.949804297</v>
      </c>
      <c r="H56" s="373">
        <f t="shared" si="33"/>
        <v>944301.49327928491</v>
      </c>
      <c r="I56" s="373">
        <f t="shared" si="34"/>
        <v>-9822158.456525011</v>
      </c>
    </row>
    <row r="57" spans="1:9">
      <c r="A57" s="370">
        <f t="shared" si="35"/>
        <v>2041</v>
      </c>
      <c r="B57" s="374">
        <f t="shared" si="27"/>
        <v>-40570038.347097397</v>
      </c>
      <c r="C57" s="374">
        <f t="shared" si="28"/>
        <v>3502109.5120315552</v>
      </c>
      <c r="D57" s="374">
        <f t="shared" si="31"/>
        <v>-37067928.835065842</v>
      </c>
      <c r="E57" s="254"/>
      <c r="F57" s="370">
        <f t="shared" si="36"/>
        <v>2041</v>
      </c>
      <c r="G57" s="373">
        <f t="shared" si="32"/>
        <v>-10484068.85377731</v>
      </c>
      <c r="H57" s="373">
        <f t="shared" si="33"/>
        <v>905011.64784415765</v>
      </c>
      <c r="I57" s="373">
        <f t="shared" si="34"/>
        <v>-9579057.2059331518</v>
      </c>
    </row>
    <row r="58" spans="1:9">
      <c r="A58" s="370">
        <f t="shared" si="35"/>
        <v>2042</v>
      </c>
      <c r="B58" s="374">
        <f t="shared" si="27"/>
        <v>-42220332.526979446</v>
      </c>
      <c r="C58" s="374">
        <f t="shared" si="28"/>
        <v>3590213.6686878204</v>
      </c>
      <c r="D58" s="374">
        <f t="shared" si="31"/>
        <v>-38630118.858291626</v>
      </c>
      <c r="E58" s="254"/>
      <c r="F58" s="370">
        <f t="shared" si="36"/>
        <v>2042</v>
      </c>
      <c r="G58" s="373">
        <f t="shared" si="32"/>
        <v>-10196762.831861643</v>
      </c>
      <c r="H58" s="373">
        <f t="shared" si="33"/>
        <v>867083.5851878752</v>
      </c>
      <c r="I58" s="373">
        <f t="shared" si="34"/>
        <v>-9329679.2466737684</v>
      </c>
    </row>
    <row r="59" spans="1:9">
      <c r="A59" s="370">
        <f t="shared" si="35"/>
        <v>2043</v>
      </c>
      <c r="B59" s="374">
        <f t="shared" si="27"/>
        <v>-43888227.947288513</v>
      </c>
      <c r="C59" s="374">
        <f t="shared" si="28"/>
        <v>3679416.0441653728</v>
      </c>
      <c r="D59" s="374">
        <f t="shared" si="31"/>
        <v>-40208811.90312314</v>
      </c>
      <c r="E59" s="254"/>
      <c r="F59" s="370">
        <f t="shared" si="36"/>
        <v>2043</v>
      </c>
      <c r="G59" s="373">
        <f t="shared" si="32"/>
        <v>-9906150.8440964669</v>
      </c>
      <c r="H59" s="373">
        <f t="shared" si="33"/>
        <v>830492.64134034736</v>
      </c>
      <c r="I59" s="373">
        <f t="shared" si="34"/>
        <v>-9075658.2027561199</v>
      </c>
    </row>
    <row r="60" spans="1:9">
      <c r="A60" s="370">
        <f t="shared" si="35"/>
        <v>2044</v>
      </c>
      <c r="B60" s="374">
        <f t="shared" si="27"/>
        <v>-45573872.259410858</v>
      </c>
      <c r="C60" s="374">
        <f t="shared" si="28"/>
        <v>3769727.9666862488</v>
      </c>
      <c r="D60" s="374">
        <f t="shared" si="31"/>
        <v>-41804144.292724609</v>
      </c>
      <c r="E60" s="254"/>
      <c r="F60" s="370">
        <f t="shared" si="36"/>
        <v>2044</v>
      </c>
      <c r="G60" s="373">
        <f t="shared" si="32"/>
        <v>-9613666.3150955271</v>
      </c>
      <c r="H60" s="373">
        <f t="shared" si="33"/>
        <v>795212.36563174659</v>
      </c>
      <c r="I60" s="373">
        <f t="shared" si="34"/>
        <v>-8818453.949463781</v>
      </c>
    </row>
    <row r="61" spans="1:9">
      <c r="A61" s="370">
        <f t="shared" si="35"/>
        <v>2045</v>
      </c>
      <c r="B61" s="374">
        <f t="shared" si="27"/>
        <v>-47277414.229669571</v>
      </c>
      <c r="C61" s="374">
        <f t="shared" si="28"/>
        <v>3861160.8712627888</v>
      </c>
      <c r="D61" s="374">
        <f t="shared" ref="D61:D70" si="37">B61+C61</f>
        <v>-43416253.358406782</v>
      </c>
      <c r="E61" s="254"/>
      <c r="F61" s="370">
        <f t="shared" si="36"/>
        <v>2045</v>
      </c>
      <c r="G61" s="373">
        <f t="shared" si="32"/>
        <v>-9320582.4152984694</v>
      </c>
      <c r="H61" s="373">
        <f t="shared" si="33"/>
        <v>761214.81484800729</v>
      </c>
      <c r="I61" s="373">
        <f t="shared" ref="I61:I70" si="38">G61+H61</f>
        <v>-8559367.6004504617</v>
      </c>
    </row>
    <row r="62" spans="1:9">
      <c r="A62" s="370">
        <f t="shared" si="35"/>
        <v>2046</v>
      </c>
      <c r="B62" s="374">
        <f t="shared" si="27"/>
        <v>-48999003.747255325</v>
      </c>
      <c r="C62" s="374">
        <f t="shared" si="28"/>
        <v>3953726.3006522655</v>
      </c>
      <c r="D62" s="374">
        <f t="shared" si="37"/>
        <v>-45045277.44660306</v>
      </c>
      <c r="E62" s="254"/>
      <c r="F62" s="370">
        <f t="shared" si="36"/>
        <v>2046</v>
      </c>
      <c r="G62" s="373">
        <f t="shared" si="32"/>
        <v>-9028026.1398409139</v>
      </c>
      <c r="H62" s="373">
        <f t="shared" si="33"/>
        <v>728470.81904322561</v>
      </c>
      <c r="I62" s="373">
        <f t="shared" si="38"/>
        <v>-8299555.3207976883</v>
      </c>
    </row>
    <row r="63" spans="1:9">
      <c r="A63" s="370">
        <f t="shared" si="35"/>
        <v>2047</v>
      </c>
      <c r="B63" s="374">
        <f t="shared" si="27"/>
        <v>-50738791.832210541</v>
      </c>
      <c r="C63" s="374">
        <f t="shared" si="28"/>
        <v>4047435.9063208103</v>
      </c>
      <c r="D63" s="374">
        <f t="shared" si="37"/>
        <v>-46691355.92588973</v>
      </c>
      <c r="E63" s="254"/>
      <c r="F63" s="370">
        <f t="shared" si="36"/>
        <v>2047</v>
      </c>
      <c r="G63" s="373">
        <f t="shared" si="32"/>
        <v>-8736991.274352245</v>
      </c>
      <c r="H63" s="373">
        <f t="shared" si="33"/>
        <v>696950.22132111061</v>
      </c>
      <c r="I63" s="373">
        <f t="shared" si="38"/>
        <v>-8040041.0530311344</v>
      </c>
    </row>
    <row r="64" spans="1:9">
      <c r="A64" s="370">
        <f t="shared" si="35"/>
        <v>2048</v>
      </c>
      <c r="B64" s="374">
        <f t="shared" si="27"/>
        <v>-52496930.643476486</v>
      </c>
      <c r="C64" s="374">
        <f t="shared" si="28"/>
        <v>4142301.4494140148</v>
      </c>
      <c r="D64" s="374">
        <f t="shared" si="37"/>
        <v>-48354629.194062471</v>
      </c>
      <c r="E64" s="254"/>
      <c r="F64" s="370">
        <f t="shared" si="36"/>
        <v>2048</v>
      </c>
      <c r="G64" s="373">
        <f t="shared" si="32"/>
        <v>-8448350.3305988126</v>
      </c>
      <c r="H64" s="373">
        <f t="shared" si="33"/>
        <v>666622.09372321749</v>
      </c>
      <c r="I64" s="373">
        <f t="shared" si="38"/>
        <v>-7781728.2368755955</v>
      </c>
    </row>
    <row r="65" spans="1:20">
      <c r="A65" s="370">
        <f t="shared" si="35"/>
        <v>2049</v>
      </c>
      <c r="B65" s="374">
        <f t="shared" si="27"/>
        <v>-54273573.486988068</v>
      </c>
      <c r="C65" s="374">
        <f t="shared" si="28"/>
        <v>4238334.8017370701</v>
      </c>
      <c r="D65" s="374">
        <f t="shared" si="37"/>
        <v>-50035238.685250998</v>
      </c>
      <c r="E65" s="254"/>
      <c r="F65" s="370">
        <f t="shared" si="36"/>
        <v>2049</v>
      </c>
      <c r="G65" s="373">
        <f t="shared" si="32"/>
        <v>-8162865.5289409114</v>
      </c>
      <c r="H65" s="373">
        <f t="shared" si="33"/>
        <v>637454.93120154808</v>
      </c>
      <c r="I65" s="373">
        <f t="shared" si="38"/>
        <v>-7525410.5977393631</v>
      </c>
    </row>
    <row r="66" spans="1:20">
      <c r="A66" s="370">
        <f t="shared" si="35"/>
        <v>2050</v>
      </c>
      <c r="B66" s="374">
        <f t="shared" si="27"/>
        <v>-56068874.82383728</v>
      </c>
      <c r="C66" s="374">
        <f t="shared" si="28"/>
        <v>4335547.9467425346</v>
      </c>
      <c r="D66" s="374">
        <f t="shared" si="37"/>
        <v>-51733326.877094746</v>
      </c>
      <c r="E66" s="254"/>
      <c r="F66" s="370">
        <f t="shared" si="36"/>
        <v>2050</v>
      </c>
      <c r="G66" s="373">
        <f t="shared" si="32"/>
        <v>-7881198.8990486814</v>
      </c>
      <c r="H66" s="373">
        <f t="shared" si="33"/>
        <v>609416.82550250133</v>
      </c>
      <c r="I66" s="373">
        <f t="shared" si="38"/>
        <v>-7271782.0735461805</v>
      </c>
    </row>
    <row r="67" spans="1:20">
      <c r="A67" s="370">
        <f t="shared" si="35"/>
        <v>2051</v>
      </c>
      <c r="B67" s="374">
        <f t="shared" si="27"/>
        <v>-56068874.82383728</v>
      </c>
      <c r="C67" s="374">
        <f t="shared" si="28"/>
        <v>4335547.9467425346</v>
      </c>
      <c r="D67" s="374">
        <f t="shared" si="37"/>
        <v>-51733326.877094746</v>
      </c>
      <c r="E67" s="254"/>
      <c r="F67" s="370">
        <f t="shared" si="36"/>
        <v>2051</v>
      </c>
      <c r="G67" s="373">
        <f t="shared" si="32"/>
        <v>-7365606.4477090472</v>
      </c>
      <c r="H67" s="373">
        <f t="shared" si="33"/>
        <v>569548.43504906667</v>
      </c>
      <c r="I67" s="373">
        <f t="shared" si="38"/>
        <v>-6796058.0126599809</v>
      </c>
    </row>
    <row r="68" spans="1:20">
      <c r="A68" s="370">
        <f t="shared" si="35"/>
        <v>2052</v>
      </c>
      <c r="B68" s="374">
        <f t="shared" si="27"/>
        <v>-56068874.82383728</v>
      </c>
      <c r="C68" s="374">
        <f t="shared" si="28"/>
        <v>4335547.9467425346</v>
      </c>
      <c r="D68" s="374">
        <f t="shared" si="37"/>
        <v>-51733326.877094746</v>
      </c>
      <c r="E68" s="254"/>
      <c r="F68" s="370">
        <f t="shared" si="36"/>
        <v>2052</v>
      </c>
      <c r="G68" s="373">
        <f t="shared" si="32"/>
        <v>-6883744.3436533147</v>
      </c>
      <c r="H68" s="373">
        <f t="shared" si="33"/>
        <v>532288.25705520238</v>
      </c>
      <c r="I68" s="373">
        <f t="shared" si="38"/>
        <v>-6351456.0865981122</v>
      </c>
    </row>
    <row r="69" spans="1:20">
      <c r="A69" s="370">
        <f t="shared" si="35"/>
        <v>2053</v>
      </c>
      <c r="B69" s="374">
        <f t="shared" si="27"/>
        <v>-56068874.82383728</v>
      </c>
      <c r="C69" s="374">
        <f t="shared" si="28"/>
        <v>4335547.9467425346</v>
      </c>
      <c r="D69" s="374">
        <f t="shared" si="37"/>
        <v>-51733326.877094746</v>
      </c>
      <c r="E69" s="254"/>
      <c r="F69" s="370">
        <f t="shared" si="36"/>
        <v>2053</v>
      </c>
      <c r="G69" s="373">
        <f t="shared" si="32"/>
        <v>-6433405.9286479568</v>
      </c>
      <c r="H69" s="373">
        <f t="shared" si="33"/>
        <v>497465.66079925455</v>
      </c>
      <c r="I69" s="373">
        <f t="shared" si="38"/>
        <v>-5935940.2678487021</v>
      </c>
    </row>
    <row r="70" spans="1:20">
      <c r="A70" s="370">
        <f t="shared" si="35"/>
        <v>2054</v>
      </c>
      <c r="B70" s="373">
        <f t="shared" si="27"/>
        <v>-56068874.82383728</v>
      </c>
      <c r="C70" s="373">
        <f t="shared" si="28"/>
        <v>4335547.9467425346</v>
      </c>
      <c r="D70" s="373">
        <f t="shared" si="37"/>
        <v>-51733326.877094746</v>
      </c>
      <c r="E70" s="254"/>
      <c r="F70" s="370">
        <f t="shared" si="36"/>
        <v>2054</v>
      </c>
      <c r="G70" s="373">
        <f t="shared" si="32"/>
        <v>-6012528.9052784638</v>
      </c>
      <c r="H70" s="373">
        <f t="shared" si="33"/>
        <v>464921.17831706029</v>
      </c>
      <c r="I70" s="373">
        <f t="shared" si="38"/>
        <v>-5547607.7269614032</v>
      </c>
    </row>
    <row r="71" spans="1:20">
      <c r="B71"/>
      <c r="T71" s="8"/>
    </row>
    <row r="72" spans="1:20">
      <c r="A72" s="267" t="s">
        <v>209</v>
      </c>
      <c r="B72"/>
    </row>
  </sheetData>
  <mergeCells count="11">
    <mergeCell ref="T4:W4"/>
    <mergeCell ref="F39:I39"/>
    <mergeCell ref="F38:I38"/>
    <mergeCell ref="A39:D39"/>
    <mergeCell ref="C2:E2"/>
    <mergeCell ref="G2:I2"/>
    <mergeCell ref="L2:N2"/>
    <mergeCell ref="C4:E4"/>
    <mergeCell ref="G4:I4"/>
    <mergeCell ref="K4:M4"/>
    <mergeCell ref="O4:R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V73"/>
  <sheetViews>
    <sheetView workbookViewId="0">
      <selection activeCell="O11" sqref="O11"/>
    </sheetView>
  </sheetViews>
  <sheetFormatPr defaultRowHeight="14.4"/>
  <cols>
    <col min="1" max="1" width="11.88671875" style="248" customWidth="1"/>
    <col min="2" max="2" width="16.33203125" bestFit="1" customWidth="1"/>
    <col min="3" max="3" width="15.33203125" bestFit="1" customWidth="1"/>
    <col min="4" max="4" width="16.33203125" bestFit="1" customWidth="1"/>
    <col min="5" max="5" width="7.109375" customWidth="1"/>
    <col min="6" max="6" width="16.33203125" bestFit="1" customWidth="1"/>
    <col min="7" max="7" width="15.33203125" bestFit="1" customWidth="1"/>
    <col min="8" max="8" width="16.33203125" bestFit="1" customWidth="1"/>
    <col min="9" max="9" width="11.88671875" style="182" bestFit="1" customWidth="1"/>
    <col min="10" max="12" width="15.33203125" style="182" customWidth="1"/>
    <col min="13" max="13" width="11.109375" customWidth="1"/>
    <col min="14" max="14" width="13.5546875" style="161" customWidth="1"/>
    <col min="15" max="15" width="15.33203125" bestFit="1" customWidth="1"/>
    <col min="16" max="16" width="19.109375" customWidth="1"/>
    <col min="17" max="17" width="15.33203125" bestFit="1" customWidth="1"/>
    <col min="18" max="18" width="11.88671875" customWidth="1"/>
    <col min="19" max="20" width="15.33203125" bestFit="1" customWidth="1"/>
    <col min="21" max="21" width="18.6640625" customWidth="1"/>
    <col min="22" max="22" width="13.44140625" bestFit="1" customWidth="1"/>
    <col min="23" max="24" width="13" customWidth="1"/>
    <col min="25" max="25" width="14.44140625" bestFit="1" customWidth="1"/>
    <col min="27" max="27" width="11.109375" customWidth="1"/>
    <col min="28" max="28" width="12.88671875" customWidth="1"/>
    <col min="29" max="31" width="14.44140625" customWidth="1"/>
    <col min="32" max="35" width="11.109375" customWidth="1"/>
  </cols>
  <sheetData>
    <row r="1" spans="1:22" s="182" customFormat="1" ht="22.8">
      <c r="A1" s="271" t="str">
        <f>'Title Sheet'!$A$2</f>
        <v>Benefit-Cost Analysis Spreadsheet for the Illinois International Port - Calumet Bridges Rehabilitation Project</v>
      </c>
      <c r="C1" s="185"/>
      <c r="N1" s="161"/>
    </row>
    <row r="2" spans="1:22" s="182" customFormat="1" ht="22.8">
      <c r="A2" s="271"/>
      <c r="C2" s="185"/>
      <c r="N2" s="161"/>
    </row>
    <row r="3" spans="1:22" ht="18">
      <c r="A3" s="258" t="s">
        <v>44</v>
      </c>
      <c r="N3" s="259" t="s">
        <v>14</v>
      </c>
      <c r="O3" s="169">
        <f>'Default Values'!C9</f>
        <v>0.45</v>
      </c>
      <c r="P3" s="169">
        <f>'Default Values'!C10</f>
        <v>0.94</v>
      </c>
      <c r="R3" s="168" t="s">
        <v>14</v>
      </c>
      <c r="S3" s="169">
        <f>O3</f>
        <v>0.45</v>
      </c>
      <c r="T3" s="169">
        <f>P3</f>
        <v>0.94</v>
      </c>
    </row>
    <row r="5" spans="1:22">
      <c r="A5" s="484" t="s">
        <v>20</v>
      </c>
      <c r="B5" s="484"/>
      <c r="C5" s="484"/>
      <c r="D5" s="484"/>
      <c r="F5" s="484" t="s">
        <v>21</v>
      </c>
      <c r="G5" s="484"/>
      <c r="H5" s="484"/>
      <c r="I5" s="264"/>
      <c r="J5" s="484" t="s">
        <v>206</v>
      </c>
      <c r="K5" s="484"/>
      <c r="L5" s="484"/>
      <c r="N5" s="484" t="s">
        <v>22</v>
      </c>
      <c r="O5" s="484"/>
      <c r="P5" s="484"/>
      <c r="Q5" s="484"/>
      <c r="S5" s="484" t="s">
        <v>23</v>
      </c>
      <c r="T5" s="484"/>
      <c r="U5" s="484"/>
    </row>
    <row r="6" spans="1:22">
      <c r="A6" s="366" t="s">
        <v>1</v>
      </c>
      <c r="B6" s="366" t="s">
        <v>161</v>
      </c>
      <c r="C6" s="366" t="s">
        <v>13</v>
      </c>
      <c r="D6" s="366" t="s">
        <v>6</v>
      </c>
      <c r="E6" s="31"/>
      <c r="F6" s="366" t="s">
        <v>161</v>
      </c>
      <c r="G6" s="366" t="s">
        <v>13</v>
      </c>
      <c r="H6" s="366" t="s">
        <v>6</v>
      </c>
      <c r="I6" s="247"/>
      <c r="J6" s="366" t="s">
        <v>161</v>
      </c>
      <c r="K6" s="366" t="s">
        <v>13</v>
      </c>
      <c r="L6" s="366" t="s">
        <v>6</v>
      </c>
      <c r="N6" s="372" t="s">
        <v>1</v>
      </c>
      <c r="O6" s="366" t="s">
        <v>161</v>
      </c>
      <c r="P6" s="366" t="s">
        <v>13</v>
      </c>
      <c r="Q6" s="366" t="s">
        <v>6</v>
      </c>
      <c r="S6" s="366" t="s">
        <v>161</v>
      </c>
      <c r="T6" s="366" t="s">
        <v>13</v>
      </c>
      <c r="U6" s="366" t="s">
        <v>6</v>
      </c>
    </row>
    <row r="7" spans="1:22">
      <c r="A7" s="193">
        <v>2025</v>
      </c>
      <c r="B7" s="362">
        <f>'TDM Data'!C18</f>
        <v>10574781792</v>
      </c>
      <c r="C7" s="362">
        <f>'TDM Data'!C19</f>
        <v>981224477.5</v>
      </c>
      <c r="D7" s="362">
        <f>SUM(B7:C7)</f>
        <v>11556006269.5</v>
      </c>
      <c r="E7" s="182"/>
      <c r="F7" s="362">
        <f>'TDM Data'!C5</f>
        <v>10551621000</v>
      </c>
      <c r="G7" s="362">
        <f>'TDM Data'!C6</f>
        <v>984249922.5</v>
      </c>
      <c r="H7" s="362">
        <f>SUM(F7:G7)</f>
        <v>11535870922.5</v>
      </c>
      <c r="I7" s="39"/>
      <c r="J7" s="367">
        <f t="shared" ref="J7:J10" si="0">F7-B7</f>
        <v>-23160792</v>
      </c>
      <c r="K7" s="367">
        <f t="shared" ref="K7:K10" si="1">G7-C7</f>
        <v>3025445</v>
      </c>
      <c r="L7" s="367">
        <f t="shared" ref="L7:L10" si="2">SUM(J7:K7)</f>
        <v>-20135347</v>
      </c>
      <c r="N7" s="193">
        <v>2025</v>
      </c>
      <c r="O7" s="371">
        <f t="shared" ref="O7:O10" si="3">B7*O$3</f>
        <v>4758651806.4000006</v>
      </c>
      <c r="P7" s="371">
        <f t="shared" ref="P7:P10" si="4">C7*P$3</f>
        <v>922351008.8499999</v>
      </c>
      <c r="Q7" s="371">
        <f t="shared" ref="Q7:Q10" si="5">O7+P7</f>
        <v>5681002815.25</v>
      </c>
      <c r="S7" s="371">
        <f t="shared" ref="S7:S10" si="6">F7*S$3</f>
        <v>4748229450</v>
      </c>
      <c r="T7" s="371">
        <f t="shared" ref="T7:T10" si="7">G7*T$3</f>
        <v>925194927.14999998</v>
      </c>
      <c r="U7" s="371">
        <f t="shared" ref="U7:U10" si="8">S7+T7</f>
        <v>5673424377.1499996</v>
      </c>
    </row>
    <row r="8" spans="1:22">
      <c r="A8" s="193">
        <f>A7+1</f>
        <v>2026</v>
      </c>
      <c r="B8" s="365">
        <f>B7*(1+'TDM Data'!D$23)</f>
        <v>10608092407.030188</v>
      </c>
      <c r="C8" s="365">
        <f>C7*(1+'TDM Data'!D$24)</f>
        <v>985646273.91499352</v>
      </c>
      <c r="D8" s="363">
        <f t="shared" ref="D8:D12" si="9">B8+C8</f>
        <v>11593738680.945181</v>
      </c>
      <c r="F8" s="365">
        <f>F7*(1+'TDM Data'!D$10)</f>
        <v>10584028532.383698</v>
      </c>
      <c r="G8" s="365">
        <f>G7*(1+'TDM Data'!D$11)</f>
        <v>988717395.45994699</v>
      </c>
      <c r="H8" s="363">
        <f t="shared" ref="H8:H11" si="10">F8+G8</f>
        <v>11572745927.843645</v>
      </c>
      <c r="I8" s="192"/>
      <c r="J8" s="367">
        <f t="shared" si="0"/>
        <v>-24063874.646490097</v>
      </c>
      <c r="K8" s="367">
        <f t="shared" si="1"/>
        <v>3071121.5449534655</v>
      </c>
      <c r="L8" s="367">
        <f t="shared" si="2"/>
        <v>-20992753.101536632</v>
      </c>
      <c r="N8" s="193">
        <f>N7+1</f>
        <v>2026</v>
      </c>
      <c r="O8" s="371">
        <f t="shared" si="3"/>
        <v>4773641583.1635847</v>
      </c>
      <c r="P8" s="371">
        <f t="shared" si="4"/>
        <v>926507497.48009384</v>
      </c>
      <c r="Q8" s="371">
        <f t="shared" si="5"/>
        <v>5700149080.6436787</v>
      </c>
      <c r="S8" s="371">
        <f t="shared" si="6"/>
        <v>4762812839.5726643</v>
      </c>
      <c r="T8" s="371">
        <f t="shared" si="7"/>
        <v>929394351.73235011</v>
      </c>
      <c r="U8" s="371">
        <f t="shared" si="8"/>
        <v>5692207191.3050146</v>
      </c>
    </row>
    <row r="9" spans="1:22">
      <c r="A9" s="193">
        <f>A8+1</f>
        <v>2027</v>
      </c>
      <c r="B9" s="365">
        <f>B8*(1+'TDM Data'!D$23)</f>
        <v>10641507950.662735</v>
      </c>
      <c r="C9" s="365">
        <f>C8*(1+'TDM Data'!D$24)</f>
        <v>990087996.7423259</v>
      </c>
      <c r="D9" s="363">
        <f t="shared" si="9"/>
        <v>11631595947.405062</v>
      </c>
      <c r="F9" s="365">
        <f>F8*(1+'TDM Data'!D$10)</f>
        <v>10616535599.062193</v>
      </c>
      <c r="G9" s="365">
        <f>G8*(1+'TDM Data'!D$11)</f>
        <v>993205146.10972822</v>
      </c>
      <c r="H9" s="363">
        <f t="shared" si="10"/>
        <v>11609740745.171921</v>
      </c>
      <c r="I9" s="192"/>
      <c r="J9" s="367">
        <f t="shared" si="0"/>
        <v>-24972351.600542068</v>
      </c>
      <c r="K9" s="367">
        <f t="shared" si="1"/>
        <v>3117149.3674023151</v>
      </c>
      <c r="L9" s="367">
        <f t="shared" si="2"/>
        <v>-21855202.233139753</v>
      </c>
      <c r="N9" s="193">
        <f>N8+1</f>
        <v>2027</v>
      </c>
      <c r="O9" s="371">
        <f t="shared" si="3"/>
        <v>4788678577.7982311</v>
      </c>
      <c r="P9" s="371">
        <f t="shared" si="4"/>
        <v>930682716.93778634</v>
      </c>
      <c r="Q9" s="371">
        <f t="shared" si="5"/>
        <v>5719361294.7360172</v>
      </c>
      <c r="S9" s="371">
        <f t="shared" si="6"/>
        <v>4777441019.5779867</v>
      </c>
      <c r="T9" s="371">
        <f t="shared" si="7"/>
        <v>933612837.34314442</v>
      </c>
      <c r="U9" s="371">
        <f t="shared" si="8"/>
        <v>5711053856.9211311</v>
      </c>
    </row>
    <row r="10" spans="1:22">
      <c r="A10" s="193">
        <f>A9+1</f>
        <v>2028</v>
      </c>
      <c r="B10" s="365">
        <f>B9*(1+'TDM Data'!D$23)</f>
        <v>10675028753.423258</v>
      </c>
      <c r="C10" s="365">
        <f>C9*(1+'TDM Data'!D$24)</f>
        <v>994549735.77851236</v>
      </c>
      <c r="D10" s="363">
        <f t="shared" si="9"/>
        <v>11669578489.201771</v>
      </c>
      <c r="F10" s="365">
        <f>F9*(1+'TDM Data'!D$10)</f>
        <v>10649142505.738359</v>
      </c>
      <c r="G10" s="365">
        <f>G9*(1+'TDM Data'!D$11)</f>
        <v>997713266.48900664</v>
      </c>
      <c r="H10" s="363">
        <f t="shared" si="10"/>
        <v>11646855772.227365</v>
      </c>
      <c r="I10" s="192"/>
      <c r="J10" s="367">
        <f t="shared" si="0"/>
        <v>-25886247.684898376</v>
      </c>
      <c r="K10" s="367">
        <f t="shared" si="1"/>
        <v>3163530.7104942799</v>
      </c>
      <c r="L10" s="367">
        <f t="shared" si="2"/>
        <v>-22722716.974404097</v>
      </c>
      <c r="N10" s="193">
        <f>N9+1</f>
        <v>2028</v>
      </c>
      <c r="O10" s="371">
        <f t="shared" si="3"/>
        <v>4803762939.0404663</v>
      </c>
      <c r="P10" s="371">
        <f t="shared" si="4"/>
        <v>934876751.63180161</v>
      </c>
      <c r="Q10" s="371">
        <f t="shared" si="5"/>
        <v>5738639690.6722679</v>
      </c>
      <c r="S10" s="371">
        <f t="shared" si="6"/>
        <v>4792114127.582262</v>
      </c>
      <c r="T10" s="371">
        <f t="shared" si="7"/>
        <v>937850470.49966621</v>
      </c>
      <c r="U10" s="371">
        <f t="shared" si="8"/>
        <v>5729964598.0819283</v>
      </c>
    </row>
    <row r="11" spans="1:22">
      <c r="A11" s="387">
        <v>2029</v>
      </c>
      <c r="B11" s="365">
        <f>B10*(1+'TDM Data'!D$23)</f>
        <v>10708655146.878532</v>
      </c>
      <c r="C11" s="365">
        <f>C10*(1+'TDM Data'!D$24)</f>
        <v>999031581.22472751</v>
      </c>
      <c r="D11" s="365">
        <f t="shared" si="9"/>
        <v>11707686728.10326</v>
      </c>
      <c r="E11" s="55"/>
      <c r="F11" s="365">
        <f>F10*(1+'TDM Data'!D$10)</f>
        <v>10681849559.053989</v>
      </c>
      <c r="G11" s="365">
        <f>G10*(1+'TDM Data'!D$11)</f>
        <v>1002241849.0552095</v>
      </c>
      <c r="H11" s="365">
        <f t="shared" si="10"/>
        <v>11684091408.1092</v>
      </c>
      <c r="I11" s="239"/>
      <c r="J11" s="367">
        <f>F11-B11</f>
        <v>-26805587.824542999</v>
      </c>
      <c r="K11" s="367">
        <f>G11-C11</f>
        <v>3210267.8304820061</v>
      </c>
      <c r="L11" s="367">
        <f>SUM(J11:K11)</f>
        <v>-23595319.994060993</v>
      </c>
      <c r="M11" s="55"/>
      <c r="N11" s="387">
        <v>2029</v>
      </c>
      <c r="O11" s="371">
        <f t="shared" ref="O11:O36" si="11">B11*O$3</f>
        <v>4818894816.0953398</v>
      </c>
      <c r="P11" s="371">
        <f t="shared" ref="P11:P36" si="12">C11*P$3</f>
        <v>939089686.35124385</v>
      </c>
      <c r="Q11" s="371">
        <f t="shared" ref="Q11" si="13">O11+P11</f>
        <v>5757984502.4465837</v>
      </c>
      <c r="R11" s="238"/>
      <c r="S11" s="371">
        <f t="shared" ref="S11:S36" si="14">F11*S$3</f>
        <v>4806832301.574295</v>
      </c>
      <c r="T11" s="371">
        <f t="shared" ref="T11:T36" si="15">G11*T$3</f>
        <v>942107338.11189687</v>
      </c>
      <c r="U11" s="371">
        <f t="shared" ref="U11" si="16">S11+T11</f>
        <v>5748939639.6861916</v>
      </c>
    </row>
    <row r="12" spans="1:22">
      <c r="A12" s="387">
        <v>2030</v>
      </c>
      <c r="B12" s="365">
        <f>B11*(1+'TDM Data'!D$23)</f>
        <v>10742387463.639769</v>
      </c>
      <c r="C12" s="365">
        <f>C11*(1+'TDM Data'!D$24)</f>
        <v>1003533623.6886293</v>
      </c>
      <c r="D12" s="365">
        <f t="shared" si="9"/>
        <v>11745921087.328398</v>
      </c>
      <c r="E12" s="55"/>
      <c r="F12" s="365">
        <f>F11*(1+'TDM Data'!D$10)</f>
        <v>10714657066.592672</v>
      </c>
      <c r="G12" s="365">
        <f>G11*(1+'TDM Data'!D$11)</f>
        <v>1006790986.685425</v>
      </c>
      <c r="H12" s="365">
        <f t="shared" ref="H12" si="17">F12+G12</f>
        <v>11721448053.278097</v>
      </c>
      <c r="I12" s="239"/>
      <c r="J12" s="367">
        <f t="shared" ref="J12:J36" si="18">F12-B12</f>
        <v>-27730397.047096252</v>
      </c>
      <c r="K12" s="367">
        <f t="shared" ref="K12:K36" si="19">G12-C12</f>
        <v>3257362.9967957735</v>
      </c>
      <c r="L12" s="367">
        <f t="shared" ref="L12:L36" si="20">SUM(J12:K12)</f>
        <v>-24473034.050300479</v>
      </c>
      <c r="M12" s="55"/>
      <c r="N12" s="387">
        <v>2030</v>
      </c>
      <c r="O12" s="371">
        <f t="shared" si="11"/>
        <v>4834074358.6378956</v>
      </c>
      <c r="P12" s="371">
        <f t="shared" si="12"/>
        <v>943321606.26731145</v>
      </c>
      <c r="Q12" s="371">
        <f t="shared" ref="Q12:Q30" si="21">O12+P12</f>
        <v>5777395964.9052067</v>
      </c>
      <c r="R12" s="238"/>
      <c r="S12" s="371">
        <f t="shared" si="14"/>
        <v>4821595679.9667025</v>
      </c>
      <c r="T12" s="371">
        <f t="shared" si="15"/>
        <v>946383527.48429954</v>
      </c>
      <c r="U12" s="371">
        <f t="shared" ref="U12:U30" si="22">S12+T12</f>
        <v>5767979207.4510021</v>
      </c>
      <c r="V12" s="136"/>
    </row>
    <row r="13" spans="1:22">
      <c r="A13" s="387">
        <v>2031</v>
      </c>
      <c r="B13" s="365">
        <f>B12*(1+'TDM Data'!D$23)</f>
        <v>10776226037.365906</v>
      </c>
      <c r="C13" s="365">
        <f>C12*(1+'TDM Data'!D$24)</f>
        <v>1008055954.1861906</v>
      </c>
      <c r="D13" s="365">
        <f t="shared" ref="D13:D30" si="23">B13+C13</f>
        <v>11784281991.552097</v>
      </c>
      <c r="E13" s="55"/>
      <c r="F13" s="365">
        <f>F12*(1+'TDM Data'!D$10)</f>
        <v>10747565336.882689</v>
      </c>
      <c r="G13" s="365">
        <f>G12*(1+'TDM Data'!D$11)</f>
        <v>1011360772.6783068</v>
      </c>
      <c r="H13" s="365">
        <f t="shared" ref="H13:H30" si="24">F13+G13</f>
        <v>11758926109.560995</v>
      </c>
      <c r="I13" s="239"/>
      <c r="J13" s="367">
        <f t="shared" si="18"/>
        <v>-28660700.483217239</v>
      </c>
      <c r="K13" s="367">
        <f t="shared" si="19"/>
        <v>3304818.4921162128</v>
      </c>
      <c r="L13" s="367">
        <f t="shared" si="20"/>
        <v>-25355881.991101027</v>
      </c>
      <c r="M13" s="55"/>
      <c r="N13" s="387">
        <v>2031</v>
      </c>
      <c r="O13" s="371">
        <f t="shared" si="11"/>
        <v>4849301716.8146582</v>
      </c>
      <c r="P13" s="371">
        <f t="shared" si="12"/>
        <v>947572596.93501914</v>
      </c>
      <c r="Q13" s="371">
        <f t="shared" si="21"/>
        <v>5796874313.7496777</v>
      </c>
      <c r="R13" s="238"/>
      <c r="S13" s="371">
        <f t="shared" si="14"/>
        <v>4836404401.5972099</v>
      </c>
      <c r="T13" s="371">
        <f t="shared" si="15"/>
        <v>950679126.31760836</v>
      </c>
      <c r="U13" s="371">
        <f t="shared" si="22"/>
        <v>5787083527.9148178</v>
      </c>
      <c r="V13" s="136"/>
    </row>
    <row r="14" spans="1:22">
      <c r="A14" s="387">
        <v>2032</v>
      </c>
      <c r="B14" s="365">
        <f>B13*(1+'TDM Data'!D$23)</f>
        <v>10810171202.766911</v>
      </c>
      <c r="C14" s="365">
        <f>C13*(1+'TDM Data'!D$24)</f>
        <v>1012598664.1435392</v>
      </c>
      <c r="D14" s="365">
        <f t="shared" si="23"/>
        <v>11822769866.91045</v>
      </c>
      <c r="E14" s="55"/>
      <c r="F14" s="365">
        <f>F13*(1+'TDM Data'!D$10)</f>
        <v>10780574679.399912</v>
      </c>
      <c r="G14" s="365">
        <f>G13*(1+'TDM Data'!D$11)</f>
        <v>1015951300.7559876</v>
      </c>
      <c r="H14" s="365">
        <f t="shared" si="24"/>
        <v>11796525980.155899</v>
      </c>
      <c r="I14" s="239"/>
      <c r="J14" s="367">
        <f t="shared" si="18"/>
        <v>-29596523.366998672</v>
      </c>
      <c r="K14" s="367">
        <f t="shared" si="19"/>
        <v>3352636.6124484539</v>
      </c>
      <c r="L14" s="367">
        <f t="shared" si="20"/>
        <v>-26243886.754550219</v>
      </c>
      <c r="M14" s="55"/>
      <c r="N14" s="387">
        <v>2032</v>
      </c>
      <c r="O14" s="371">
        <f t="shared" si="11"/>
        <v>4864577041.2451096</v>
      </c>
      <c r="P14" s="371">
        <f t="shared" si="12"/>
        <v>951842744.29492676</v>
      </c>
      <c r="Q14" s="371">
        <f t="shared" si="21"/>
        <v>5816419785.5400362</v>
      </c>
      <c r="R14" s="238"/>
      <c r="S14" s="371">
        <f t="shared" si="14"/>
        <v>4851258605.7299604</v>
      </c>
      <c r="T14" s="371">
        <f t="shared" si="15"/>
        <v>954994222.71062839</v>
      </c>
      <c r="U14" s="371">
        <f t="shared" si="22"/>
        <v>5806252828.440589</v>
      </c>
      <c r="V14" s="136"/>
    </row>
    <row r="15" spans="1:22">
      <c r="A15" s="387">
        <v>2033</v>
      </c>
      <c r="B15" s="365">
        <f>B14*(1+'TDM Data'!D$23)</f>
        <v>10844223295.607086</v>
      </c>
      <c r="C15" s="365">
        <f>C14*(1+'TDM Data'!D$24)</f>
        <v>1017161845.3988062</v>
      </c>
      <c r="D15" s="365">
        <f t="shared" si="23"/>
        <v>11861385141.005892</v>
      </c>
      <c r="E15" s="55"/>
      <c r="F15" s="365">
        <f>F14*(1+'TDM Data'!D$10)</f>
        <v>10813685404.570719</v>
      </c>
      <c r="G15" s="365">
        <f>G14*(1+'TDM Data'!D$11)</f>
        <v>1020562665.0660014</v>
      </c>
      <c r="H15" s="365">
        <f t="shared" si="24"/>
        <v>11834248069.636721</v>
      </c>
      <c r="I15" s="239"/>
      <c r="J15" s="367">
        <f t="shared" si="18"/>
        <v>-30537891.036367416</v>
      </c>
      <c r="K15" s="367">
        <f t="shared" si="19"/>
        <v>3400819.6671952009</v>
      </c>
      <c r="L15" s="367">
        <f t="shared" si="20"/>
        <v>-27137071.369172215</v>
      </c>
      <c r="M15" s="55"/>
      <c r="N15" s="387">
        <v>2033</v>
      </c>
      <c r="O15" s="371">
        <f t="shared" si="11"/>
        <v>4879900483.0231886</v>
      </c>
      <c r="P15" s="371">
        <f t="shared" si="12"/>
        <v>956132134.67487776</v>
      </c>
      <c r="Q15" s="371">
        <f t="shared" si="21"/>
        <v>5836032617.6980667</v>
      </c>
      <c r="R15" s="238"/>
      <c r="S15" s="371">
        <f t="shared" si="14"/>
        <v>4866158432.0568237</v>
      </c>
      <c r="T15" s="371">
        <f t="shared" si="15"/>
        <v>959328905.16204131</v>
      </c>
      <c r="U15" s="371">
        <f t="shared" si="22"/>
        <v>5825487337.2188654</v>
      </c>
      <c r="V15" s="136"/>
    </row>
    <row r="16" spans="1:22">
      <c r="A16" s="387">
        <v>2034</v>
      </c>
      <c r="B16" s="365">
        <f>B15*(1+'TDM Data'!D$23)</f>
        <v>10878382652.708395</v>
      </c>
      <c r="C16" s="365">
        <f>C15*(1+'TDM Data'!D$24)</f>
        <v>1021745590.2039827</v>
      </c>
      <c r="D16" s="365">
        <f t="shared" si="23"/>
        <v>11900128242.912378</v>
      </c>
      <c r="E16" s="55"/>
      <c r="F16" s="365">
        <f>F15*(1+'TDM Data'!D$10)</f>
        <v>10846897823.77491</v>
      </c>
      <c r="G16" s="365">
        <f>G15*(1+'TDM Data'!D$11)</f>
        <v>1025194960.1832142</v>
      </c>
      <c r="H16" s="365">
        <f t="shared" si="24"/>
        <v>11872092783.958124</v>
      </c>
      <c r="I16" s="239"/>
      <c r="J16" s="367">
        <f t="shared" si="18"/>
        <v>-31484828.933485031</v>
      </c>
      <c r="K16" s="367">
        <f t="shared" si="19"/>
        <v>3449369.9792314768</v>
      </c>
      <c r="L16" s="367">
        <f t="shared" si="20"/>
        <v>-28035458.954253554</v>
      </c>
      <c r="M16" s="55"/>
      <c r="N16" s="387">
        <v>2034</v>
      </c>
      <c r="O16" s="371">
        <f t="shared" si="11"/>
        <v>4895272193.7187777</v>
      </c>
      <c r="P16" s="371">
        <f t="shared" si="12"/>
        <v>960440854.79174364</v>
      </c>
      <c r="Q16" s="371">
        <f t="shared" si="21"/>
        <v>5855713048.5105209</v>
      </c>
      <c r="R16" s="238"/>
      <c r="S16" s="371">
        <f t="shared" si="14"/>
        <v>4881104020.6987095</v>
      </c>
      <c r="T16" s="371">
        <f t="shared" si="15"/>
        <v>963683262.57222128</v>
      </c>
      <c r="U16" s="371">
        <f t="shared" si="22"/>
        <v>5844787283.2709312</v>
      </c>
      <c r="V16" s="136"/>
    </row>
    <row r="17" spans="1:22">
      <c r="A17" s="387">
        <v>2035</v>
      </c>
      <c r="B17" s="365">
        <f>B16*(1+'TDM Data'!D$23)</f>
        <v>10912649611.953793</v>
      </c>
      <c r="C17" s="365">
        <f>C16*(1+'TDM Data'!D$24)</f>
        <v>1026349991.2267848</v>
      </c>
      <c r="D17" s="365">
        <f t="shared" si="23"/>
        <v>11938999603.180578</v>
      </c>
      <c r="E17" s="55"/>
      <c r="F17" s="365">
        <f>F16*(1+'TDM Data'!D$10)</f>
        <v>10880212249.348635</v>
      </c>
      <c r="G17" s="365">
        <f>G16*(1+'TDM Data'!D$11)</f>
        <v>1029848281.1117636</v>
      </c>
      <c r="H17" s="365">
        <f t="shared" si="24"/>
        <v>11910060530.460398</v>
      </c>
      <c r="I17" s="239"/>
      <c r="J17" s="367">
        <f t="shared" si="18"/>
        <v>-32437362.605157852</v>
      </c>
      <c r="K17" s="367">
        <f t="shared" si="19"/>
        <v>3498289.8849787712</v>
      </c>
      <c r="L17" s="367">
        <f t="shared" si="20"/>
        <v>-28939072.720179081</v>
      </c>
      <c r="M17" s="55"/>
      <c r="N17" s="387">
        <v>2035</v>
      </c>
      <c r="O17" s="371">
        <f t="shared" si="11"/>
        <v>4910692325.3792067</v>
      </c>
      <c r="P17" s="371">
        <f t="shared" si="12"/>
        <v>964768991.75317764</v>
      </c>
      <c r="Q17" s="371">
        <f t="shared" si="21"/>
        <v>5875461317.1323843</v>
      </c>
      <c r="R17" s="238"/>
      <c r="S17" s="371">
        <f t="shared" si="14"/>
        <v>4896095512.2068853</v>
      </c>
      <c r="T17" s="371">
        <f t="shared" si="15"/>
        <v>968057384.2450577</v>
      </c>
      <c r="U17" s="371">
        <f t="shared" si="22"/>
        <v>5864152896.4519434</v>
      </c>
      <c r="V17" s="136"/>
    </row>
    <row r="18" spans="1:22">
      <c r="A18" s="387">
        <v>2036</v>
      </c>
      <c r="B18" s="365">
        <f>B17*(1+'TDM Data'!D$23)</f>
        <v>10947024512.290565</v>
      </c>
      <c r="C18" s="365">
        <f>C17*(1+'TDM Data'!D$24)</f>
        <v>1030975141.552527</v>
      </c>
      <c r="D18" s="365">
        <f t="shared" si="23"/>
        <v>11977999653.843092</v>
      </c>
      <c r="E18" s="55"/>
      <c r="F18" s="365">
        <f>F17*(1+'TDM Data'!D$10)</f>
        <v>10913628994.58733</v>
      </c>
      <c r="G18" s="365">
        <f>G17*(1+'TDM Data'!D$11)</f>
        <v>1034522723.2870077</v>
      </c>
      <c r="H18" s="365">
        <f t="shared" si="24"/>
        <v>11948151717.874338</v>
      </c>
      <c r="I18" s="239"/>
      <c r="J18" s="367">
        <f t="shared" si="18"/>
        <v>-33395517.703235626</v>
      </c>
      <c r="K18" s="367">
        <f t="shared" si="19"/>
        <v>3547581.7344807386</v>
      </c>
      <c r="L18" s="367">
        <f t="shared" si="20"/>
        <v>-29847935.968754888</v>
      </c>
      <c r="M18" s="55"/>
      <c r="N18" s="387">
        <v>2036</v>
      </c>
      <c r="O18" s="371">
        <f t="shared" si="11"/>
        <v>4926161030.530755</v>
      </c>
      <c r="P18" s="371">
        <f t="shared" si="12"/>
        <v>969116633.05937529</v>
      </c>
      <c r="Q18" s="371">
        <f t="shared" si="21"/>
        <v>5895277663.5901299</v>
      </c>
      <c r="R18" s="238"/>
      <c r="S18" s="371">
        <f t="shared" si="14"/>
        <v>4911133047.5642986</v>
      </c>
      <c r="T18" s="371">
        <f t="shared" si="15"/>
        <v>972451359.8897872</v>
      </c>
      <c r="U18" s="371">
        <f t="shared" si="22"/>
        <v>5883584407.4540863</v>
      </c>
      <c r="V18" s="136"/>
    </row>
    <row r="19" spans="1:22">
      <c r="A19" s="387">
        <v>2037</v>
      </c>
      <c r="B19" s="365">
        <f>B18*(1+'TDM Data'!D$23)</f>
        <v>10981507693.733685</v>
      </c>
      <c r="C19" s="365">
        <f>C18*(1+'TDM Data'!D$24)</f>
        <v>1035621134.6860038</v>
      </c>
      <c r="D19" s="365">
        <f t="shared" si="23"/>
        <v>12017128828.419689</v>
      </c>
      <c r="E19" s="55"/>
      <c r="F19" s="365">
        <f>F18*(1+'TDM Data'!D$10)</f>
        <v>10947148373.748669</v>
      </c>
      <c r="G19" s="365">
        <f>G18*(1+'TDM Data'!D$11)</f>
        <v>1039218382.5774816</v>
      </c>
      <c r="H19" s="365">
        <f t="shared" si="24"/>
        <v>11986366756.326151</v>
      </c>
      <c r="I19" s="239"/>
      <c r="J19" s="367">
        <f t="shared" si="18"/>
        <v>-34359319.985015869</v>
      </c>
      <c r="K19" s="367">
        <f t="shared" si="19"/>
        <v>3597247.8914778233</v>
      </c>
      <c r="L19" s="367">
        <f t="shared" si="20"/>
        <v>-30762072.093538046</v>
      </c>
      <c r="M19" s="242"/>
      <c r="N19" s="387">
        <v>2037</v>
      </c>
      <c r="O19" s="371">
        <f t="shared" si="11"/>
        <v>4941678462.1801586</v>
      </c>
      <c r="P19" s="371">
        <f t="shared" si="12"/>
        <v>973483866.6048435</v>
      </c>
      <c r="Q19" s="371">
        <f t="shared" si="21"/>
        <v>5915162328.7850018</v>
      </c>
      <c r="R19" s="238"/>
      <c r="S19" s="371">
        <f t="shared" si="14"/>
        <v>4926216768.1869011</v>
      </c>
      <c r="T19" s="371">
        <f t="shared" si="15"/>
        <v>976865279.62283266</v>
      </c>
      <c r="U19" s="371">
        <f t="shared" si="22"/>
        <v>5903082047.8097334</v>
      </c>
      <c r="V19" s="136"/>
    </row>
    <row r="20" spans="1:22">
      <c r="A20" s="387">
        <v>2038</v>
      </c>
      <c r="B20" s="365">
        <f>B19*(1+'TDM Data'!D$23)</f>
        <v>11016099497.369173</v>
      </c>
      <c r="C20" s="365">
        <f>C19*(1+'TDM Data'!D$24)</f>
        <v>1040288064.5533808</v>
      </c>
      <c r="D20" s="365">
        <f t="shared" si="23"/>
        <v>12056387561.922554</v>
      </c>
      <c r="E20" s="55"/>
      <c r="F20" s="365">
        <f>F19*(1+'TDM Data'!D$10)</f>
        <v>10980770702.055513</v>
      </c>
      <c r="G20" s="365">
        <f>G19*(1+'TDM Data'!D$11)</f>
        <v>1043935355.2868645</v>
      </c>
      <c r="H20" s="365">
        <f t="shared" si="24"/>
        <v>12024706057.342379</v>
      </c>
      <c r="I20" s="239"/>
      <c r="J20" s="367">
        <f t="shared" si="18"/>
        <v>-35328795.313659668</v>
      </c>
      <c r="K20" s="367">
        <f t="shared" si="19"/>
        <v>3647290.7334836721</v>
      </c>
      <c r="L20" s="367">
        <f t="shared" si="20"/>
        <v>-31681504.580175996</v>
      </c>
      <c r="M20" s="242"/>
      <c r="N20" s="387">
        <v>2038</v>
      </c>
      <c r="O20" s="371">
        <f t="shared" si="11"/>
        <v>4957244773.8161278</v>
      </c>
      <c r="P20" s="371">
        <f t="shared" si="12"/>
        <v>977870780.68017793</v>
      </c>
      <c r="Q20" s="371">
        <f t="shared" si="21"/>
        <v>5935115554.4963055</v>
      </c>
      <c r="R20" s="238"/>
      <c r="S20" s="371">
        <f t="shared" si="14"/>
        <v>4941346815.9249811</v>
      </c>
      <c r="T20" s="371">
        <f t="shared" si="15"/>
        <v>981299233.96965253</v>
      </c>
      <c r="U20" s="371">
        <f t="shared" si="22"/>
        <v>5922646049.8946333</v>
      </c>
      <c r="V20" s="136"/>
    </row>
    <row r="21" spans="1:22">
      <c r="A21" s="387">
        <v>2039</v>
      </c>
      <c r="B21" s="365">
        <f>B20*(1+'TDM Data'!D$23)</f>
        <v>11050800265.357473</v>
      </c>
      <c r="C21" s="365">
        <f>C20*(1+'TDM Data'!D$24)</f>
        <v>1044976025.5040928</v>
      </c>
      <c r="D21" s="365">
        <f t="shared" si="23"/>
        <v>12095776290.861567</v>
      </c>
      <c r="E21" s="55"/>
      <c r="F21" s="365">
        <f>F20*(1+'TDM Data'!D$10)</f>
        <v>11014496295.698881</v>
      </c>
      <c r="G21" s="365">
        <f>G20*(1+'TDM Data'!D$11)</f>
        <v>1048673738.1559541</v>
      </c>
      <c r="H21" s="365">
        <f t="shared" si="24"/>
        <v>12063170033.854836</v>
      </c>
      <c r="I21" s="239"/>
      <c r="J21" s="367">
        <f t="shared" si="18"/>
        <v>-36303969.658592224</v>
      </c>
      <c r="K21" s="367">
        <f t="shared" si="19"/>
        <v>3697712.65186131</v>
      </c>
      <c r="L21" s="367">
        <f t="shared" si="20"/>
        <v>-32606257.006730914</v>
      </c>
      <c r="M21" s="242"/>
      <c r="N21" s="387">
        <v>2039</v>
      </c>
      <c r="O21" s="371">
        <f t="shared" si="11"/>
        <v>4972860119.4108629</v>
      </c>
      <c r="P21" s="371">
        <f t="shared" si="12"/>
        <v>982277463.97384715</v>
      </c>
      <c r="Q21" s="371">
        <f t="shared" si="21"/>
        <v>5955137583.3847103</v>
      </c>
      <c r="R21" s="238"/>
      <c r="S21" s="371">
        <f t="shared" si="14"/>
        <v>4956523333.064497</v>
      </c>
      <c r="T21" s="371">
        <f t="shared" si="15"/>
        <v>985753313.86659682</v>
      </c>
      <c r="U21" s="371">
        <f t="shared" si="22"/>
        <v>5942276646.9310942</v>
      </c>
      <c r="V21" s="136"/>
    </row>
    <row r="22" spans="1:22">
      <c r="A22" s="387">
        <v>2040</v>
      </c>
      <c r="B22" s="365">
        <f>B21*(1+'TDM Data'!D$23)</f>
        <v>11085610340.936838</v>
      </c>
      <c r="C22" s="365">
        <f>C21*(1+'TDM Data'!D$24)</f>
        <v>1049685112.3127514</v>
      </c>
      <c r="D22" s="365">
        <f t="shared" si="23"/>
        <v>12135295453.24959</v>
      </c>
      <c r="E22" s="55"/>
      <c r="F22" s="365">
        <f>F21*(1+'TDM Data'!D$10)</f>
        <v>11048325471.840914</v>
      </c>
      <c r="G22" s="365">
        <f>G21*(1+'TDM Data'!D$11)</f>
        <v>1053433628.3646508</v>
      </c>
      <c r="H22" s="365">
        <f t="shared" si="24"/>
        <v>12101759100.205564</v>
      </c>
      <c r="I22" s="239"/>
      <c r="J22" s="367">
        <f t="shared" si="18"/>
        <v>-37284869.095924377</v>
      </c>
      <c r="K22" s="367">
        <f t="shared" si="19"/>
        <v>3748516.0518994331</v>
      </c>
      <c r="L22" s="367">
        <f t="shared" si="20"/>
        <v>-33536353.044024944</v>
      </c>
      <c r="M22" s="242"/>
      <c r="N22" s="387">
        <v>2040</v>
      </c>
      <c r="O22" s="371">
        <f t="shared" si="11"/>
        <v>4988524653.4215775</v>
      </c>
      <c r="P22" s="371">
        <f t="shared" si="12"/>
        <v>986704005.57398629</v>
      </c>
      <c r="Q22" s="371">
        <f t="shared" si="21"/>
        <v>5975228658.9955635</v>
      </c>
      <c r="R22" s="238"/>
      <c r="S22" s="371">
        <f t="shared" si="14"/>
        <v>4971746462.3284111</v>
      </c>
      <c r="T22" s="371">
        <f t="shared" si="15"/>
        <v>990227610.6627717</v>
      </c>
      <c r="U22" s="371">
        <f t="shared" si="22"/>
        <v>5961974072.9911823</v>
      </c>
      <c r="V22" s="136"/>
    </row>
    <row r="23" spans="1:22">
      <c r="A23" s="387">
        <v>2041</v>
      </c>
      <c r="B23" s="365">
        <f>B22*(1+'TDM Data'!D$23)</f>
        <v>11120530068.42672</v>
      </c>
      <c r="C23" s="365">
        <f>C22*(1+'TDM Data'!D$24)</f>
        <v>1054415420.1810614</v>
      </c>
      <c r="D23" s="365">
        <f t="shared" si="23"/>
        <v>12174945488.60778</v>
      </c>
      <c r="E23" s="55"/>
      <c r="F23" s="365">
        <f>F22*(1+'TDM Data'!D$10)</f>
        <v>11082258548.617867</v>
      </c>
      <c r="G23" s="365">
        <f>G22*(1+'TDM Data'!D$11)</f>
        <v>1058215123.5339512</v>
      </c>
      <c r="H23" s="365">
        <f t="shared" si="24"/>
        <v>12140473672.151817</v>
      </c>
      <c r="I23" s="239"/>
      <c r="J23" s="367">
        <f t="shared" si="18"/>
        <v>-38271519.808853149</v>
      </c>
      <c r="K23" s="367">
        <f t="shared" si="19"/>
        <v>3799703.3528897762</v>
      </c>
      <c r="L23" s="367">
        <f t="shared" si="20"/>
        <v>-34471816.455963373</v>
      </c>
      <c r="M23" s="242"/>
      <c r="N23" s="387">
        <v>2041</v>
      </c>
      <c r="O23" s="371">
        <f t="shared" si="11"/>
        <v>5004238530.7920237</v>
      </c>
      <c r="P23" s="371">
        <f t="shared" si="12"/>
        <v>991150494.97019768</v>
      </c>
      <c r="Q23" s="371">
        <f t="shared" si="21"/>
        <v>5995389025.7622213</v>
      </c>
      <c r="R23" s="238"/>
      <c r="S23" s="371">
        <f t="shared" si="14"/>
        <v>4987016346.8780403</v>
      </c>
      <c r="T23" s="371">
        <f t="shared" si="15"/>
        <v>994722216.12191403</v>
      </c>
      <c r="U23" s="371">
        <f t="shared" si="22"/>
        <v>5981738562.9999542</v>
      </c>
      <c r="V23" s="136"/>
    </row>
    <row r="24" spans="1:22">
      <c r="A24" s="387">
        <v>2042</v>
      </c>
      <c r="B24" s="365">
        <f>B23*(1+'TDM Data'!D$23)</f>
        <v>11155559793.23118</v>
      </c>
      <c r="C24" s="365">
        <f>C23*(1+'TDM Data'!D$24)</f>
        <v>1059167044.739745</v>
      </c>
      <c r="D24" s="365">
        <f t="shared" si="23"/>
        <v>12214726837.970924</v>
      </c>
      <c r="E24" s="55"/>
      <c r="F24" s="365">
        <f>F23*(1+'TDM Data'!D$10)</f>
        <v>11116295845.143097</v>
      </c>
      <c r="G24" s="365">
        <f>G23*(1+'TDM Data'!D$11)</f>
        <v>1063018321.7279494</v>
      </c>
      <c r="H24" s="365">
        <f t="shared" si="24"/>
        <v>12179314166.871046</v>
      </c>
      <c r="I24" s="239"/>
      <c r="J24" s="367">
        <f t="shared" si="18"/>
        <v>-39263948.088083267</v>
      </c>
      <c r="K24" s="367">
        <f t="shared" si="19"/>
        <v>3851276.98820436</v>
      </c>
      <c r="L24" s="367">
        <f t="shared" si="20"/>
        <v>-35412671.099878907</v>
      </c>
      <c r="M24" s="242"/>
      <c r="N24" s="387">
        <v>2042</v>
      </c>
      <c r="O24" s="371">
        <f t="shared" si="11"/>
        <v>5020001906.954031</v>
      </c>
      <c r="P24" s="371">
        <f t="shared" si="12"/>
        <v>995617022.05536032</v>
      </c>
      <c r="Q24" s="371">
        <f t="shared" si="21"/>
        <v>6015618929.0093918</v>
      </c>
      <c r="R24" s="238"/>
      <c r="S24" s="371">
        <f t="shared" si="14"/>
        <v>5002333130.314394</v>
      </c>
      <c r="T24" s="371">
        <f t="shared" si="15"/>
        <v>999237222.42427242</v>
      </c>
      <c r="U24" s="371">
        <f t="shared" si="22"/>
        <v>6001570352.7386665</v>
      </c>
      <c r="V24" s="136"/>
    </row>
    <row r="25" spans="1:22">
      <c r="A25" s="387">
        <v>2043</v>
      </c>
      <c r="B25" s="365">
        <f>B24*(1+'TDM Data'!D$23)</f>
        <v>11190699861.842306</v>
      </c>
      <c r="C25" s="365">
        <f>C24*(1+'TDM Data'!D$24)</f>
        <v>1063940082.0504755</v>
      </c>
      <c r="D25" s="365">
        <f t="shared" si="23"/>
        <v>12254639943.892782</v>
      </c>
      <c r="E25" s="55"/>
      <c r="F25" s="365">
        <f>F24*(1+'TDM Data'!D$10)</f>
        <v>11150437681.510063</v>
      </c>
      <c r="G25" s="365">
        <f>G24*(1+'TDM Data'!D$11)</f>
        <v>1067843321.4558492</v>
      </c>
      <c r="H25" s="365">
        <f t="shared" si="24"/>
        <v>12218281002.965912</v>
      </c>
      <c r="I25" s="239"/>
      <c r="J25" s="367">
        <f t="shared" si="18"/>
        <v>-40262180.332242966</v>
      </c>
      <c r="K25" s="367">
        <f t="shared" si="19"/>
        <v>3903239.4053736925</v>
      </c>
      <c r="L25" s="367">
        <f t="shared" si="20"/>
        <v>-36358940.926869273</v>
      </c>
      <c r="M25" s="242"/>
      <c r="N25" s="387">
        <v>2043</v>
      </c>
      <c r="O25" s="371">
        <f t="shared" si="11"/>
        <v>5035814937.8290377</v>
      </c>
      <c r="P25" s="371">
        <f t="shared" si="12"/>
        <v>1000103677.1274469</v>
      </c>
      <c r="Q25" s="371">
        <f t="shared" si="21"/>
        <v>6035918614.9564848</v>
      </c>
      <c r="R25" s="238"/>
      <c r="S25" s="371">
        <f t="shared" si="14"/>
        <v>5017696956.6795282</v>
      </c>
      <c r="T25" s="371">
        <f t="shared" si="15"/>
        <v>1003772722.1684982</v>
      </c>
      <c r="U25" s="371">
        <f t="shared" si="22"/>
        <v>6021469678.8480263</v>
      </c>
      <c r="V25" s="136"/>
    </row>
    <row r="26" spans="1:22">
      <c r="A26" s="387">
        <v>2044</v>
      </c>
      <c r="B26" s="365">
        <f>B25*(1+'TDM Data'!D$23)</f>
        <v>11225950621.843634</v>
      </c>
      <c r="C26" s="365">
        <f>C25*(1+'TDM Data'!D$24)</f>
        <v>1068734628.607819</v>
      </c>
      <c r="D26" s="365">
        <f t="shared" si="23"/>
        <v>12294685250.451452</v>
      </c>
      <c r="E26" s="55"/>
      <c r="F26" s="365">
        <f>F25*(1+'TDM Data'!D$10)</f>
        <v>11184684378.795338</v>
      </c>
      <c r="G26" s="365">
        <f>G25*(1+'TDM Data'!D$11)</f>
        <v>1072690221.6739836</v>
      </c>
      <c r="H26" s="365">
        <f t="shared" si="24"/>
        <v>12257374600.469322</v>
      </c>
      <c r="I26" s="239"/>
      <c r="J26" s="367">
        <f t="shared" si="18"/>
        <v>-41266243.048295975</v>
      </c>
      <c r="K26" s="367">
        <f t="shared" si="19"/>
        <v>3955593.0661646128</v>
      </c>
      <c r="L26" s="367">
        <f t="shared" si="20"/>
        <v>-37310649.982131362</v>
      </c>
      <c r="M26" s="242"/>
      <c r="N26" s="387">
        <v>2044</v>
      </c>
      <c r="O26" s="371">
        <f t="shared" si="11"/>
        <v>5051677779.8296356</v>
      </c>
      <c r="P26" s="371">
        <f t="shared" si="12"/>
        <v>1004610550.8913498</v>
      </c>
      <c r="Q26" s="371">
        <f t="shared" si="21"/>
        <v>6056288330.7209854</v>
      </c>
      <c r="R26" s="238"/>
      <c r="S26" s="371">
        <f t="shared" si="14"/>
        <v>5033107970.457902</v>
      </c>
      <c r="T26" s="371">
        <f t="shared" si="15"/>
        <v>1008328808.3735445</v>
      </c>
      <c r="U26" s="371">
        <f t="shared" si="22"/>
        <v>6041436778.8314466</v>
      </c>
      <c r="V26" s="136"/>
    </row>
    <row r="27" spans="1:22">
      <c r="A27" s="387">
        <v>2045</v>
      </c>
      <c r="B27" s="365">
        <f>B26*(1+'TDM Data'!D$23)</f>
        <v>11261312421.913591</v>
      </c>
      <c r="C27" s="365">
        <f>C26*(1+'TDM Data'!D$24)</f>
        <v>1073550781.3411852</v>
      </c>
      <c r="D27" s="365">
        <f t="shared" si="23"/>
        <v>12334863203.254776</v>
      </c>
      <c r="E27" s="55"/>
      <c r="F27" s="365">
        <f>F26*(1+'TDM Data'!D$10)</f>
        <v>11219036259.061625</v>
      </c>
      <c r="G27" s="365">
        <f>G26*(1+'TDM Data'!D$11)</f>
        <v>1077559121.7878447</v>
      </c>
      <c r="H27" s="365">
        <f t="shared" si="24"/>
        <v>12296595380.849468</v>
      </c>
      <c r="I27" s="239"/>
      <c r="J27" s="367">
        <f t="shared" si="18"/>
        <v>-42276162.851966858</v>
      </c>
      <c r="K27" s="367">
        <f t="shared" si="19"/>
        <v>4008340.4466594458</v>
      </c>
      <c r="L27" s="367">
        <f t="shared" si="20"/>
        <v>-38267822.405307412</v>
      </c>
      <c r="M27" s="242"/>
      <c r="N27" s="387">
        <v>2045</v>
      </c>
      <c r="O27" s="371">
        <f t="shared" si="11"/>
        <v>5067590589.8611164</v>
      </c>
      <c r="P27" s="371">
        <f t="shared" si="12"/>
        <v>1009137734.4607141</v>
      </c>
      <c r="Q27" s="371">
        <f t="shared" si="21"/>
        <v>6076728324.3218307</v>
      </c>
      <c r="R27" s="238"/>
      <c r="S27" s="371">
        <f t="shared" si="14"/>
        <v>5048566316.5777311</v>
      </c>
      <c r="T27" s="371">
        <f t="shared" si="15"/>
        <v>1012905574.4805739</v>
      </c>
      <c r="U27" s="371">
        <f t="shared" si="22"/>
        <v>6061471891.0583048</v>
      </c>
      <c r="V27" s="136"/>
    </row>
    <row r="28" spans="1:22">
      <c r="A28" s="387">
        <v>2046</v>
      </c>
      <c r="B28" s="365">
        <f>B27*(1+'TDM Data'!D$23)</f>
        <v>11296785611.828943</v>
      </c>
      <c r="C28" s="365">
        <f>C27*(1+'TDM Data'!D$24)</f>
        <v>1078388637.6167874</v>
      </c>
      <c r="D28" s="365">
        <f t="shared" si="23"/>
        <v>12375174249.44573</v>
      </c>
      <c r="E28" s="55"/>
      <c r="F28" s="365">
        <f>F27*(1+'TDM Data'!D$10)</f>
        <v>11253493645.360792</v>
      </c>
      <c r="G28" s="365">
        <f>G27*(1+'TDM Data'!D$11)</f>
        <v>1082450121.6541224</v>
      </c>
      <c r="H28" s="365">
        <f t="shared" si="24"/>
        <v>12335943767.014915</v>
      </c>
      <c r="I28" s="239"/>
      <c r="J28" s="367">
        <f t="shared" si="18"/>
        <v>-43291966.468151093</v>
      </c>
      <c r="K28" s="367">
        <f t="shared" si="19"/>
        <v>4061484.037334919</v>
      </c>
      <c r="L28" s="367">
        <f t="shared" si="20"/>
        <v>-39230482.430816174</v>
      </c>
      <c r="M28" s="242"/>
      <c r="N28" s="387">
        <v>2046</v>
      </c>
      <c r="O28" s="371">
        <f t="shared" si="11"/>
        <v>5083553525.3230247</v>
      </c>
      <c r="P28" s="371">
        <f t="shared" si="12"/>
        <v>1013685319.3597801</v>
      </c>
      <c r="Q28" s="371">
        <f t="shared" si="21"/>
        <v>6097238844.6828051</v>
      </c>
      <c r="R28" s="238"/>
      <c r="S28" s="371">
        <f t="shared" si="14"/>
        <v>5064072140.4123564</v>
      </c>
      <c r="T28" s="371">
        <f t="shared" si="15"/>
        <v>1017503114.354875</v>
      </c>
      <c r="U28" s="371">
        <f t="shared" si="22"/>
        <v>6081575254.767231</v>
      </c>
      <c r="V28" s="136"/>
    </row>
    <row r="29" spans="1:22">
      <c r="A29" s="387">
        <v>2047</v>
      </c>
      <c r="B29" s="365">
        <f>B28*(1+'TDM Data'!D$23)</f>
        <v>11332370542.468256</v>
      </c>
      <c r="C29" s="365">
        <f>C28*(1+'TDM Data'!D$24)</f>
        <v>1083248295.2396107</v>
      </c>
      <c r="D29" s="365">
        <f t="shared" si="23"/>
        <v>12415618837.707867</v>
      </c>
      <c r="E29" s="55"/>
      <c r="F29" s="365">
        <f>F28*(1+'TDM Data'!D$10)</f>
        <v>11288056861.736908</v>
      </c>
      <c r="G29" s="365">
        <f>G28*(1+'TDM Data'!D$11)</f>
        <v>1087363321.5827525</v>
      </c>
      <c r="H29" s="365">
        <f t="shared" si="24"/>
        <v>12375420183.31966</v>
      </c>
      <c r="I29" s="239"/>
      <c r="J29" s="367">
        <f t="shared" si="18"/>
        <v>-44313680.731348038</v>
      </c>
      <c r="K29" s="367">
        <f t="shared" si="19"/>
        <v>4115026.3431417942</v>
      </c>
      <c r="L29" s="367">
        <f t="shared" si="20"/>
        <v>-40198654.388206244</v>
      </c>
      <c r="M29" s="242"/>
      <c r="N29" s="387">
        <v>2047</v>
      </c>
      <c r="O29" s="371">
        <f t="shared" si="11"/>
        <v>5099566744.1107149</v>
      </c>
      <c r="P29" s="371">
        <f t="shared" si="12"/>
        <v>1018253397.525234</v>
      </c>
      <c r="Q29" s="371">
        <f t="shared" si="21"/>
        <v>6117820141.6359491</v>
      </c>
      <c r="R29" s="238"/>
      <c r="S29" s="371">
        <f t="shared" si="14"/>
        <v>5079625587.7816086</v>
      </c>
      <c r="T29" s="371">
        <f t="shared" si="15"/>
        <v>1022121522.2877873</v>
      </c>
      <c r="U29" s="371">
        <f t="shared" si="22"/>
        <v>6101747110.069396</v>
      </c>
      <c r="V29" s="136"/>
    </row>
    <row r="30" spans="1:22">
      <c r="A30" s="387">
        <v>2048</v>
      </c>
      <c r="B30" s="365">
        <f>B29*(1+'TDM Data'!D$23)</f>
        <v>11368067565.815363</v>
      </c>
      <c r="C30" s="365">
        <f>C29*(1+'TDM Data'!D$24)</f>
        <v>1088129852.455389</v>
      </c>
      <c r="D30" s="365">
        <f t="shared" si="23"/>
        <v>12456197418.270752</v>
      </c>
      <c r="E30" s="55"/>
      <c r="F30" s="365">
        <f>F29*(1+'TDM Data'!D$10)</f>
        <v>11322726233.229284</v>
      </c>
      <c r="G30" s="365">
        <f>G29*(1+'TDM Data'!D$11)</f>
        <v>1092298822.3389733</v>
      </c>
      <c r="H30" s="365">
        <f t="shared" si="24"/>
        <v>12415025055.568258</v>
      </c>
      <c r="I30" s="239"/>
      <c r="J30" s="367">
        <f t="shared" si="18"/>
        <v>-45341332.586078644</v>
      </c>
      <c r="K30" s="367">
        <f t="shared" si="19"/>
        <v>4168969.8835842609</v>
      </c>
      <c r="L30" s="367">
        <f t="shared" si="20"/>
        <v>-41172362.702494383</v>
      </c>
      <c r="M30" s="242"/>
      <c r="N30" s="387">
        <v>2048</v>
      </c>
      <c r="O30" s="371">
        <f t="shared" si="11"/>
        <v>5115630404.6169138</v>
      </c>
      <c r="P30" s="371">
        <f t="shared" si="12"/>
        <v>1022842061.3080657</v>
      </c>
      <c r="Q30" s="371">
        <f t="shared" si="21"/>
        <v>6138472465.9249792</v>
      </c>
      <c r="R30" s="238"/>
      <c r="S30" s="371">
        <f t="shared" si="14"/>
        <v>5095226804.9531784</v>
      </c>
      <c r="T30" s="371">
        <f t="shared" si="15"/>
        <v>1026760892.9986348</v>
      </c>
      <c r="U30" s="371">
        <f t="shared" si="22"/>
        <v>6121987697.9518127</v>
      </c>
      <c r="V30" s="136"/>
    </row>
    <row r="31" spans="1:22">
      <c r="A31" s="387">
        <f>A30+1</f>
        <v>2049</v>
      </c>
      <c r="B31" s="365">
        <f>B30*(1+'TDM Data'!D$23)</f>
        <v>11403877034.962851</v>
      </c>
      <c r="C31" s="365">
        <f>C30*(1+'TDM Data'!D$24)</f>
        <v>1093033407.9525914</v>
      </c>
      <c r="D31" s="365">
        <f t="shared" ref="D31:D36" si="25">B31+C31</f>
        <v>12496910442.915442</v>
      </c>
      <c r="E31" s="55"/>
      <c r="F31" s="365">
        <f>F30*(1+'TDM Data'!D$10)</f>
        <v>11357502085.875538</v>
      </c>
      <c r="G31" s="365">
        <f>G30*(1+'TDM Data'!D$11)</f>
        <v>1097256725.1453931</v>
      </c>
      <c r="H31" s="365">
        <f t="shared" ref="H31:H36" si="26">F31+G31</f>
        <v>12454758811.020931</v>
      </c>
      <c r="I31" s="239"/>
      <c r="J31" s="367">
        <f t="shared" si="18"/>
        <v>-46374949.087312698</v>
      </c>
      <c r="K31" s="367">
        <f t="shared" si="19"/>
        <v>4223317.1928017139</v>
      </c>
      <c r="L31" s="367">
        <f t="shared" si="20"/>
        <v>-42151631.894510984</v>
      </c>
      <c r="M31" s="242"/>
      <c r="N31" s="387">
        <f>N30+1</f>
        <v>2049</v>
      </c>
      <c r="O31" s="371">
        <f t="shared" si="11"/>
        <v>5131744665.733283</v>
      </c>
      <c r="P31" s="371">
        <f t="shared" si="12"/>
        <v>1027451403.4754359</v>
      </c>
      <c r="Q31" s="371">
        <f t="shared" ref="Q31:Q36" si="27">O31+P31</f>
        <v>6159196069.2087193</v>
      </c>
      <c r="R31" s="238"/>
      <c r="S31" s="371">
        <f t="shared" si="14"/>
        <v>5110875938.6439924</v>
      </c>
      <c r="T31" s="371">
        <f t="shared" si="15"/>
        <v>1031421321.6366695</v>
      </c>
      <c r="U31" s="371">
        <f t="shared" ref="U31:U36" si="28">S31+T31</f>
        <v>6142297260.2806616</v>
      </c>
      <c r="V31" s="136"/>
    </row>
    <row r="32" spans="1:22">
      <c r="A32" s="387">
        <f t="shared" ref="A32:A36" si="29">A31+1</f>
        <v>2050</v>
      </c>
      <c r="B32" s="365">
        <f>B31*(1+'TDM Data'!D$23)</f>
        <v>11439799304.115545</v>
      </c>
      <c r="C32" s="365">
        <f>C31*(1+'TDM Data'!D$24)</f>
        <v>1097959060.8644176</v>
      </c>
      <c r="D32" s="365">
        <f t="shared" si="25"/>
        <v>12537758364.979963</v>
      </c>
      <c r="E32" s="55"/>
      <c r="F32" s="365">
        <f>F31*(1+'TDM Data'!D$10)</f>
        <v>11392384746.714657</v>
      </c>
      <c r="G32" s="365">
        <f>G31*(1+'TDM Data'!D$11)</f>
        <v>1102237131.6840658</v>
      </c>
      <c r="H32" s="365">
        <f t="shared" si="26"/>
        <v>12494621878.398724</v>
      </c>
      <c r="I32" s="239"/>
      <c r="J32" s="367">
        <f t="shared" si="18"/>
        <v>-47414557.400888443</v>
      </c>
      <c r="K32" s="367">
        <f t="shared" si="19"/>
        <v>4278070.8196482658</v>
      </c>
      <c r="L32" s="367">
        <f t="shared" si="20"/>
        <v>-43136486.581240177</v>
      </c>
      <c r="M32" s="242"/>
      <c r="N32" s="387">
        <f t="shared" ref="N32:N36" si="30">N31+1</f>
        <v>2050</v>
      </c>
      <c r="O32" s="371">
        <f t="shared" si="11"/>
        <v>5147909686.8519955</v>
      </c>
      <c r="P32" s="371">
        <f t="shared" si="12"/>
        <v>1032081517.2125524</v>
      </c>
      <c r="Q32" s="371">
        <f t="shared" si="27"/>
        <v>6179991204.0645475</v>
      </c>
      <c r="R32" s="55"/>
      <c r="S32" s="371">
        <f t="shared" si="14"/>
        <v>5126573136.021596</v>
      </c>
      <c r="T32" s="371">
        <f t="shared" si="15"/>
        <v>1036102903.7830218</v>
      </c>
      <c r="U32" s="371">
        <f t="shared" si="28"/>
        <v>6162676039.8046179</v>
      </c>
    </row>
    <row r="33" spans="1:22">
      <c r="A33" s="387">
        <f t="shared" si="29"/>
        <v>2051</v>
      </c>
      <c r="B33" s="365">
        <f>B32</f>
        <v>11439799304.115545</v>
      </c>
      <c r="C33" s="365">
        <f>C32</f>
        <v>1097959060.8644176</v>
      </c>
      <c r="D33" s="365">
        <f t="shared" si="25"/>
        <v>12537758364.979963</v>
      </c>
      <c r="E33" s="55"/>
      <c r="F33" s="365">
        <f>F32</f>
        <v>11392384746.714657</v>
      </c>
      <c r="G33" s="365">
        <f>G32</f>
        <v>1102237131.6840658</v>
      </c>
      <c r="H33" s="365">
        <f t="shared" si="26"/>
        <v>12494621878.398724</v>
      </c>
      <c r="I33" s="239"/>
      <c r="J33" s="367">
        <f t="shared" si="18"/>
        <v>-47414557.400888443</v>
      </c>
      <c r="K33" s="367">
        <f t="shared" si="19"/>
        <v>4278070.8196482658</v>
      </c>
      <c r="L33" s="367">
        <f t="shared" si="20"/>
        <v>-43136486.581240177</v>
      </c>
      <c r="M33" s="55"/>
      <c r="N33" s="387">
        <f t="shared" si="30"/>
        <v>2051</v>
      </c>
      <c r="O33" s="371">
        <f t="shared" si="11"/>
        <v>5147909686.8519955</v>
      </c>
      <c r="P33" s="371">
        <f t="shared" si="12"/>
        <v>1032081517.2125524</v>
      </c>
      <c r="Q33" s="371">
        <f t="shared" si="27"/>
        <v>6179991204.0645475</v>
      </c>
      <c r="R33" s="55"/>
      <c r="S33" s="371">
        <f t="shared" si="14"/>
        <v>5126573136.021596</v>
      </c>
      <c r="T33" s="371">
        <f t="shared" si="15"/>
        <v>1036102903.7830218</v>
      </c>
      <c r="U33" s="371">
        <f t="shared" si="28"/>
        <v>6162676039.8046179</v>
      </c>
    </row>
    <row r="34" spans="1:22">
      <c r="A34" s="387">
        <f t="shared" si="29"/>
        <v>2052</v>
      </c>
      <c r="B34" s="365">
        <f t="shared" ref="B34:B36" si="31">B33</f>
        <v>11439799304.115545</v>
      </c>
      <c r="C34" s="365">
        <f t="shared" ref="C34:C36" si="32">C33</f>
        <v>1097959060.8644176</v>
      </c>
      <c r="D34" s="365">
        <f t="shared" si="25"/>
        <v>12537758364.979963</v>
      </c>
      <c r="E34" s="55"/>
      <c r="F34" s="365">
        <f t="shared" ref="F34:F36" si="33">F33</f>
        <v>11392384746.714657</v>
      </c>
      <c r="G34" s="365">
        <f t="shared" ref="G34:G36" si="34">G33</f>
        <v>1102237131.6840658</v>
      </c>
      <c r="H34" s="365">
        <f t="shared" si="26"/>
        <v>12494621878.398724</v>
      </c>
      <c r="I34" s="239"/>
      <c r="J34" s="367">
        <f t="shared" si="18"/>
        <v>-47414557.400888443</v>
      </c>
      <c r="K34" s="367">
        <f t="shared" si="19"/>
        <v>4278070.8196482658</v>
      </c>
      <c r="L34" s="367">
        <f t="shared" si="20"/>
        <v>-43136486.581240177</v>
      </c>
      <c r="M34" s="55"/>
      <c r="N34" s="387">
        <f t="shared" si="30"/>
        <v>2052</v>
      </c>
      <c r="O34" s="371">
        <f t="shared" si="11"/>
        <v>5147909686.8519955</v>
      </c>
      <c r="P34" s="371">
        <f t="shared" si="12"/>
        <v>1032081517.2125524</v>
      </c>
      <c r="Q34" s="371">
        <f t="shared" si="27"/>
        <v>6179991204.0645475</v>
      </c>
      <c r="R34" s="55"/>
      <c r="S34" s="371">
        <f t="shared" si="14"/>
        <v>5126573136.021596</v>
      </c>
      <c r="T34" s="371">
        <f t="shared" si="15"/>
        <v>1036102903.7830218</v>
      </c>
      <c r="U34" s="371">
        <f t="shared" si="28"/>
        <v>6162676039.8046179</v>
      </c>
    </row>
    <row r="35" spans="1:22">
      <c r="A35" s="387">
        <f t="shared" si="29"/>
        <v>2053</v>
      </c>
      <c r="B35" s="365">
        <f t="shared" si="31"/>
        <v>11439799304.115545</v>
      </c>
      <c r="C35" s="365">
        <f t="shared" si="32"/>
        <v>1097959060.8644176</v>
      </c>
      <c r="D35" s="365">
        <f t="shared" si="25"/>
        <v>12537758364.979963</v>
      </c>
      <c r="E35" s="55"/>
      <c r="F35" s="365">
        <f t="shared" si="33"/>
        <v>11392384746.714657</v>
      </c>
      <c r="G35" s="365">
        <f t="shared" si="34"/>
        <v>1102237131.6840658</v>
      </c>
      <c r="H35" s="365">
        <f t="shared" si="26"/>
        <v>12494621878.398724</v>
      </c>
      <c r="I35" s="239"/>
      <c r="J35" s="367">
        <f t="shared" si="18"/>
        <v>-47414557.400888443</v>
      </c>
      <c r="K35" s="367">
        <f t="shared" si="19"/>
        <v>4278070.8196482658</v>
      </c>
      <c r="L35" s="367">
        <f t="shared" si="20"/>
        <v>-43136486.581240177</v>
      </c>
      <c r="M35" s="55"/>
      <c r="N35" s="387">
        <f t="shared" si="30"/>
        <v>2053</v>
      </c>
      <c r="O35" s="371">
        <f t="shared" si="11"/>
        <v>5147909686.8519955</v>
      </c>
      <c r="P35" s="371">
        <f t="shared" si="12"/>
        <v>1032081517.2125524</v>
      </c>
      <c r="Q35" s="371">
        <f t="shared" si="27"/>
        <v>6179991204.0645475</v>
      </c>
      <c r="R35" s="55"/>
      <c r="S35" s="371">
        <f t="shared" si="14"/>
        <v>5126573136.021596</v>
      </c>
      <c r="T35" s="371">
        <f t="shared" si="15"/>
        <v>1036102903.7830218</v>
      </c>
      <c r="U35" s="371">
        <f t="shared" si="28"/>
        <v>6162676039.8046179</v>
      </c>
    </row>
    <row r="36" spans="1:22">
      <c r="A36" s="387">
        <f t="shared" si="29"/>
        <v>2054</v>
      </c>
      <c r="B36" s="365">
        <f t="shared" si="31"/>
        <v>11439799304.115545</v>
      </c>
      <c r="C36" s="365">
        <f t="shared" si="32"/>
        <v>1097959060.8644176</v>
      </c>
      <c r="D36" s="365">
        <f t="shared" si="25"/>
        <v>12537758364.979963</v>
      </c>
      <c r="E36" s="55"/>
      <c r="F36" s="365">
        <f t="shared" si="33"/>
        <v>11392384746.714657</v>
      </c>
      <c r="G36" s="365">
        <f t="shared" si="34"/>
        <v>1102237131.6840658</v>
      </c>
      <c r="H36" s="365">
        <f t="shared" si="26"/>
        <v>12494621878.398724</v>
      </c>
      <c r="I36" s="239"/>
      <c r="J36" s="367">
        <f t="shared" si="18"/>
        <v>-47414557.400888443</v>
      </c>
      <c r="K36" s="367">
        <f t="shared" si="19"/>
        <v>4278070.8196482658</v>
      </c>
      <c r="L36" s="367">
        <f t="shared" si="20"/>
        <v>-43136486.581240177</v>
      </c>
      <c r="M36" s="55"/>
      <c r="N36" s="387">
        <f t="shared" si="30"/>
        <v>2054</v>
      </c>
      <c r="O36" s="371">
        <f t="shared" si="11"/>
        <v>5147909686.8519955</v>
      </c>
      <c r="P36" s="371">
        <f t="shared" si="12"/>
        <v>1032081517.2125524</v>
      </c>
      <c r="Q36" s="371">
        <f t="shared" si="27"/>
        <v>6179991204.0645475</v>
      </c>
      <c r="R36" s="55"/>
      <c r="S36" s="371">
        <f t="shared" si="14"/>
        <v>5126573136.021596</v>
      </c>
      <c r="T36" s="371">
        <f t="shared" si="15"/>
        <v>1036102903.7830218</v>
      </c>
      <c r="U36" s="371">
        <f t="shared" si="28"/>
        <v>6162676039.8046179</v>
      </c>
    </row>
    <row r="37" spans="1:22">
      <c r="A37" s="254"/>
      <c r="B37" s="239"/>
      <c r="C37" s="239"/>
      <c r="D37" s="239"/>
      <c r="E37" s="55"/>
      <c r="F37" s="239"/>
      <c r="G37" s="239"/>
      <c r="H37" s="239"/>
      <c r="I37" s="239"/>
      <c r="J37" s="263"/>
      <c r="K37" s="263"/>
      <c r="L37" s="263"/>
      <c r="M37" s="55"/>
      <c r="N37" s="254"/>
      <c r="O37" s="238"/>
      <c r="P37" s="238"/>
      <c r="Q37" s="238"/>
      <c r="R37" s="55"/>
      <c r="S37" s="238"/>
      <c r="T37" s="238"/>
      <c r="U37" s="238"/>
    </row>
    <row r="38" spans="1:22">
      <c r="A38" s="254"/>
      <c r="B38" s="239"/>
      <c r="C38" s="239"/>
      <c r="D38" s="239"/>
      <c r="E38" s="55"/>
      <c r="F38" s="239"/>
      <c r="G38" s="239"/>
      <c r="H38" s="239"/>
      <c r="I38" s="239"/>
      <c r="J38" s="263"/>
      <c r="K38" s="379"/>
      <c r="L38" s="379"/>
      <c r="M38" s="245"/>
      <c r="N38" s="381"/>
      <c r="O38" s="382"/>
      <c r="P38" s="382"/>
      <c r="Q38" s="382"/>
      <c r="R38" s="245"/>
      <c r="S38" s="382"/>
      <c r="T38" s="382"/>
      <c r="U38" s="382"/>
      <c r="V38" s="245"/>
    </row>
    <row r="39" spans="1:22">
      <c r="A39" s="161"/>
      <c r="F39" s="484" t="s">
        <v>17</v>
      </c>
      <c r="G39" s="484"/>
      <c r="H39" s="484"/>
      <c r="I39" s="484"/>
      <c r="J39" s="484"/>
      <c r="K39" s="379"/>
      <c r="L39" s="379"/>
      <c r="M39" s="245"/>
      <c r="N39" s="381"/>
      <c r="O39" s="382"/>
      <c r="P39" s="382"/>
      <c r="Q39" s="382"/>
      <c r="R39" s="245"/>
      <c r="S39" s="382"/>
      <c r="T39" s="382"/>
      <c r="U39" s="382"/>
      <c r="V39" s="245"/>
    </row>
    <row r="40" spans="1:22">
      <c r="A40" s="486" t="s">
        <v>167</v>
      </c>
      <c r="B40" s="486"/>
      <c r="C40" s="486"/>
      <c r="D40" s="486"/>
      <c r="E40" s="1"/>
      <c r="F40" s="486" t="s">
        <v>167</v>
      </c>
      <c r="G40" s="486"/>
      <c r="H40" s="486"/>
      <c r="I40" s="486"/>
      <c r="J40" s="486"/>
      <c r="K40" s="379"/>
      <c r="L40" s="379"/>
      <c r="M40" s="245"/>
      <c r="N40" s="381"/>
      <c r="O40" s="382"/>
      <c r="P40" s="382"/>
      <c r="Q40" s="382"/>
      <c r="R40" s="245"/>
      <c r="S40" s="382"/>
      <c r="T40" s="382"/>
      <c r="U40" s="382"/>
      <c r="V40" s="245"/>
    </row>
    <row r="41" spans="1:22" ht="15" thickBot="1">
      <c r="A41" s="358" t="s">
        <v>1</v>
      </c>
      <c r="B41" s="366" t="s">
        <v>161</v>
      </c>
      <c r="C41" s="366" t="s">
        <v>13</v>
      </c>
      <c r="D41" s="366" t="s">
        <v>6</v>
      </c>
      <c r="F41" s="366" t="s">
        <v>1</v>
      </c>
      <c r="G41" s="366" t="s">
        <v>54</v>
      </c>
      <c r="H41" s="366" t="s">
        <v>161</v>
      </c>
      <c r="I41" s="366" t="s">
        <v>13</v>
      </c>
      <c r="J41" s="366" t="s">
        <v>6</v>
      </c>
      <c r="K41" s="245"/>
      <c r="L41" s="245"/>
      <c r="M41" s="245"/>
      <c r="N41" s="376"/>
      <c r="O41" s="245"/>
      <c r="P41" s="245"/>
      <c r="Q41" s="245"/>
      <c r="R41" s="245"/>
      <c r="S41" s="245"/>
      <c r="T41" s="245"/>
      <c r="U41" s="245"/>
      <c r="V41" s="245"/>
    </row>
    <row r="42" spans="1:22" s="1" customFormat="1" ht="15" thickBot="1">
      <c r="A42" s="193">
        <v>2025</v>
      </c>
      <c r="B42" s="386">
        <f t="shared" ref="B42:B71" si="35">S7-O7</f>
        <v>-10422356.400000572</v>
      </c>
      <c r="C42" s="386">
        <f t="shared" ref="C42:C71" si="36">T7-P7</f>
        <v>2843918.3000000715</v>
      </c>
      <c r="D42" s="386">
        <f t="shared" ref="D42:D71" si="37">U7-Q7</f>
        <v>-7578438.1000003815</v>
      </c>
      <c r="E42" s="182"/>
      <c r="F42" s="193">
        <v>2025</v>
      </c>
      <c r="G42" s="388">
        <v>-2.16154078757984</v>
      </c>
      <c r="H42" s="386">
        <f t="shared" ref="H42:H71" si="38">B42/$G42</f>
        <v>4821725.5301806815</v>
      </c>
      <c r="I42" s="386">
        <f t="shared" ref="I42:I71" si="39">C42/$G42</f>
        <v>-1315690.3243932086</v>
      </c>
      <c r="J42" s="386">
        <f t="shared" ref="J42:J71" si="40">D42/$G42</f>
        <v>3506035.2057874179</v>
      </c>
      <c r="K42" s="380"/>
      <c r="L42" s="383"/>
      <c r="M42" s="384"/>
      <c r="N42" s="376"/>
      <c r="O42" s="384"/>
      <c r="P42" s="384"/>
      <c r="Q42" s="384"/>
      <c r="R42" s="384"/>
      <c r="S42" s="384"/>
      <c r="T42" s="384"/>
      <c r="U42" s="384"/>
      <c r="V42" s="384"/>
    </row>
    <row r="43" spans="1:22">
      <c r="A43" s="193">
        <f>A42+1</f>
        <v>2026</v>
      </c>
      <c r="B43" s="386">
        <f t="shared" si="35"/>
        <v>-10828743.590920448</v>
      </c>
      <c r="C43" s="386">
        <f t="shared" si="36"/>
        <v>2886854.2522562742</v>
      </c>
      <c r="D43" s="386">
        <f t="shared" si="37"/>
        <v>-7941889.3386640549</v>
      </c>
      <c r="E43" s="182"/>
      <c r="F43" s="193">
        <f>F42+1</f>
        <v>2026</v>
      </c>
      <c r="G43" s="388">
        <v>-1.16154078757984</v>
      </c>
      <c r="H43" s="386">
        <f t="shared" si="38"/>
        <v>9322740.7136369031</v>
      </c>
      <c r="I43" s="386">
        <f t="shared" si="39"/>
        <v>-2485366.2334761899</v>
      </c>
      <c r="J43" s="386">
        <f t="shared" si="40"/>
        <v>6837374.4801606108</v>
      </c>
      <c r="K43" s="245"/>
      <c r="L43" s="245"/>
      <c r="M43" s="385"/>
      <c r="N43" s="376"/>
      <c r="O43" s="245"/>
      <c r="P43" s="245"/>
      <c r="Q43" s="245"/>
      <c r="R43" s="245"/>
      <c r="S43" s="245"/>
      <c r="T43" s="245"/>
      <c r="U43" s="245"/>
      <c r="V43" s="245"/>
    </row>
    <row r="44" spans="1:22" s="1" customFormat="1">
      <c r="A44" s="193">
        <f>A43+1</f>
        <v>2027</v>
      </c>
      <c r="B44" s="386">
        <f t="shared" si="35"/>
        <v>-11237558.220244408</v>
      </c>
      <c r="C44" s="386">
        <f t="shared" si="36"/>
        <v>2930120.4053580761</v>
      </c>
      <c r="D44" s="386">
        <f t="shared" si="37"/>
        <v>-8307437.8148860931</v>
      </c>
      <c r="E44" s="182"/>
      <c r="F44" s="193">
        <f>F43+1</f>
        <v>2027</v>
      </c>
      <c r="G44" s="388">
        <v>-0.161540787579844</v>
      </c>
      <c r="H44" s="386">
        <f t="shared" si="38"/>
        <v>69564834.916321516</v>
      </c>
      <c r="I44" s="386">
        <f t="shared" si="39"/>
        <v>-18138579.42168209</v>
      </c>
      <c r="J44" s="386">
        <f t="shared" si="40"/>
        <v>51426255.494637944</v>
      </c>
      <c r="M44" s="257"/>
    </row>
    <row r="45" spans="1:22">
      <c r="A45" s="193">
        <f>A44+1</f>
        <v>2028</v>
      </c>
      <c r="B45" s="386">
        <f t="shared" si="35"/>
        <v>-11648811.458204269</v>
      </c>
      <c r="C45" s="386">
        <f t="shared" si="36"/>
        <v>2973718.8678646088</v>
      </c>
      <c r="D45" s="386">
        <f t="shared" si="37"/>
        <v>-8675092.5903396606</v>
      </c>
      <c r="E45" s="182"/>
      <c r="F45" s="193">
        <f>F44+1</f>
        <v>2028</v>
      </c>
      <c r="G45" s="388">
        <v>0.83845921242015597</v>
      </c>
      <c r="H45" s="386">
        <f t="shared" si="38"/>
        <v>-13893116.427906804</v>
      </c>
      <c r="I45" s="386">
        <f t="shared" si="39"/>
        <v>3546647.0208862871</v>
      </c>
      <c r="J45" s="386">
        <f t="shared" si="40"/>
        <v>-10346469.407020517</v>
      </c>
      <c r="M45" s="179"/>
    </row>
    <row r="46" spans="1:22">
      <c r="A46" s="387">
        <v>2029</v>
      </c>
      <c r="B46" s="386">
        <f t="shared" si="35"/>
        <v>-12062514.521044731</v>
      </c>
      <c r="C46" s="386">
        <f t="shared" si="36"/>
        <v>3017651.760653019</v>
      </c>
      <c r="D46" s="386">
        <f t="shared" si="37"/>
        <v>-9044862.760392189</v>
      </c>
      <c r="E46" s="55"/>
      <c r="F46" s="387">
        <v>2029</v>
      </c>
      <c r="G46" s="388">
        <v>1.8384592124201555</v>
      </c>
      <c r="H46" s="386">
        <f t="shared" si="38"/>
        <v>-6561208.6684074895</v>
      </c>
      <c r="I46" s="386">
        <f t="shared" si="39"/>
        <v>1641402.6159876396</v>
      </c>
      <c r="J46" s="386">
        <f t="shared" si="40"/>
        <v>-4919806.0524201095</v>
      </c>
      <c r="M46" s="179"/>
    </row>
    <row r="47" spans="1:22">
      <c r="A47" s="387">
        <v>2030</v>
      </c>
      <c r="B47" s="386">
        <f t="shared" si="35"/>
        <v>-12478678.671193123</v>
      </c>
      <c r="C47" s="386">
        <f t="shared" si="36"/>
        <v>3061921.2169880867</v>
      </c>
      <c r="D47" s="386">
        <f t="shared" si="37"/>
        <v>-9416757.4542045593</v>
      </c>
      <c r="E47" s="55"/>
      <c r="F47" s="387">
        <v>2030</v>
      </c>
      <c r="G47" s="388">
        <v>1.9671513572895665</v>
      </c>
      <c r="H47" s="386">
        <f t="shared" si="38"/>
        <v>-6343527.4692776222</v>
      </c>
      <c r="I47" s="386">
        <f t="shared" si="39"/>
        <v>1556525.4832281668</v>
      </c>
      <c r="J47" s="386">
        <f t="shared" si="40"/>
        <v>-4787001.9860492125</v>
      </c>
      <c r="M47" s="179"/>
    </row>
    <row r="48" spans="1:22">
      <c r="A48" s="387">
        <v>2031</v>
      </c>
      <c r="B48" s="386">
        <f t="shared" si="35"/>
        <v>-12897315.217448235</v>
      </c>
      <c r="C48" s="386">
        <f t="shared" si="36"/>
        <v>3106529.382589221</v>
      </c>
      <c r="D48" s="386">
        <f t="shared" si="37"/>
        <v>-9790785.834859848</v>
      </c>
      <c r="E48" s="55"/>
      <c r="F48" s="387">
        <v>2031</v>
      </c>
      <c r="G48" s="388">
        <v>2.1048519522998363</v>
      </c>
      <c r="H48" s="386">
        <f t="shared" si="38"/>
        <v>-6127421.5525496546</v>
      </c>
      <c r="I48" s="386">
        <f t="shared" si="39"/>
        <v>1475889.7314345154</v>
      </c>
      <c r="J48" s="386">
        <f t="shared" si="40"/>
        <v>-4651531.8211155357</v>
      </c>
      <c r="M48" s="179"/>
    </row>
    <row r="49" spans="1:10">
      <c r="A49" s="387">
        <v>2032</v>
      </c>
      <c r="B49" s="386">
        <f t="shared" si="35"/>
        <v>-13318435.515149117</v>
      </c>
      <c r="C49" s="386">
        <f t="shared" si="36"/>
        <v>3151478.4157016277</v>
      </c>
      <c r="D49" s="386">
        <f t="shared" si="37"/>
        <v>-10166957.09944725</v>
      </c>
      <c r="E49" s="55"/>
      <c r="F49" s="387">
        <v>2032</v>
      </c>
      <c r="G49" s="388">
        <v>2.2521915889608248</v>
      </c>
      <c r="H49" s="386">
        <f t="shared" si="38"/>
        <v>-5913544.6471027471</v>
      </c>
      <c r="I49" s="386">
        <f t="shared" si="39"/>
        <v>1399294.1058605674</v>
      </c>
      <c r="J49" s="386">
        <f t="shared" si="40"/>
        <v>-4514250.5412420742</v>
      </c>
    </row>
    <row r="50" spans="1:10">
      <c r="A50" s="387">
        <v>2033</v>
      </c>
      <c r="B50" s="386">
        <f t="shared" si="35"/>
        <v>-13742050.966364861</v>
      </c>
      <c r="C50" s="386">
        <f t="shared" si="36"/>
        <v>3196770.4871635437</v>
      </c>
      <c r="D50" s="386">
        <f t="shared" si="37"/>
        <v>-10545280.479201317</v>
      </c>
      <c r="E50" s="55"/>
      <c r="F50" s="387">
        <v>2033</v>
      </c>
      <c r="G50" s="388">
        <v>2.4098450001880827</v>
      </c>
      <c r="H50" s="386">
        <f t="shared" si="38"/>
        <v>-5702462.5921137361</v>
      </c>
      <c r="I50" s="386">
        <f t="shared" si="39"/>
        <v>1326546.1002321907</v>
      </c>
      <c r="J50" s="386">
        <f t="shared" si="40"/>
        <v>-4375916.4918815456</v>
      </c>
    </row>
    <row r="51" spans="1:10">
      <c r="A51" s="387">
        <v>2034</v>
      </c>
      <c r="B51" s="386">
        <f t="shared" si="35"/>
        <v>-14168173.020068169</v>
      </c>
      <c r="C51" s="386">
        <f t="shared" si="36"/>
        <v>3242407.780477643</v>
      </c>
      <c r="D51" s="386">
        <f t="shared" si="37"/>
        <v>-10925765.239589691</v>
      </c>
      <c r="E51" s="55"/>
      <c r="F51" s="387">
        <v>2034</v>
      </c>
      <c r="G51" s="388">
        <v>2.5785341502012487</v>
      </c>
      <c r="H51" s="386">
        <f t="shared" si="38"/>
        <v>-5494661.7708989335</v>
      </c>
      <c r="I51" s="386">
        <f t="shared" si="39"/>
        <v>1257461.6396779467</v>
      </c>
      <c r="J51" s="386">
        <f t="shared" si="40"/>
        <v>-4237200.131220663</v>
      </c>
    </row>
    <row r="52" spans="1:10">
      <c r="A52" s="387">
        <v>2035</v>
      </c>
      <c r="B52" s="386">
        <f t="shared" si="35"/>
        <v>-14596813.17232132</v>
      </c>
      <c r="C52" s="386">
        <f t="shared" si="36"/>
        <v>3288392.4918800592</v>
      </c>
      <c r="D52" s="386">
        <f t="shared" si="37"/>
        <v>-11308420.680440903</v>
      </c>
      <c r="E52" s="55"/>
      <c r="F52" s="387">
        <v>2035</v>
      </c>
      <c r="G52" s="388">
        <v>2.7590315407153363</v>
      </c>
      <c r="H52" s="386">
        <f t="shared" si="38"/>
        <v>-5290556.8337710239</v>
      </c>
      <c r="I52" s="386">
        <f t="shared" si="39"/>
        <v>1191864.7697037472</v>
      </c>
      <c r="J52" s="386">
        <f t="shared" si="40"/>
        <v>-4098692.0640671472</v>
      </c>
    </row>
    <row r="53" spans="1:10">
      <c r="A53" s="387">
        <v>2036</v>
      </c>
      <c r="B53" s="386">
        <f t="shared" si="35"/>
        <v>-15027982.966456413</v>
      </c>
      <c r="C53" s="386">
        <f t="shared" si="36"/>
        <v>3334726.830411911</v>
      </c>
      <c r="D53" s="386">
        <f t="shared" si="37"/>
        <v>-11693256.136043549</v>
      </c>
      <c r="E53" s="55"/>
      <c r="F53" s="387">
        <v>2036</v>
      </c>
      <c r="G53" s="388">
        <v>2.9521637485654102</v>
      </c>
      <c r="H53" s="386">
        <f t="shared" si="38"/>
        <v>-5090497.7658367325</v>
      </c>
      <c r="I53" s="386">
        <f t="shared" si="39"/>
        <v>1129587.3516611012</v>
      </c>
      <c r="J53" s="386">
        <f t="shared" si="40"/>
        <v>-3960910.4141753078</v>
      </c>
    </row>
    <row r="54" spans="1:10">
      <c r="A54" s="387">
        <v>2037</v>
      </c>
      <c r="B54" s="386">
        <f t="shared" si="35"/>
        <v>-15461693.993257523</v>
      </c>
      <c r="C54" s="386">
        <f t="shared" si="36"/>
        <v>3381413.0179891586</v>
      </c>
      <c r="D54" s="386">
        <f t="shared" si="37"/>
        <v>-12080280.975268364</v>
      </c>
      <c r="E54" s="55"/>
      <c r="F54" s="387">
        <v>2037</v>
      </c>
      <c r="G54" s="388">
        <v>3.1588152109649892</v>
      </c>
      <c r="H54" s="386">
        <f t="shared" si="38"/>
        <v>-4894776.3514580885</v>
      </c>
      <c r="I54" s="386">
        <f t="shared" si="39"/>
        <v>1070468.7650773239</v>
      </c>
      <c r="J54" s="386">
        <f t="shared" si="40"/>
        <v>-3824307.5863807648</v>
      </c>
    </row>
    <row r="55" spans="1:10">
      <c r="A55" s="387">
        <v>2038</v>
      </c>
      <c r="B55" s="386">
        <f t="shared" si="35"/>
        <v>-15897957.89114666</v>
      </c>
      <c r="C55" s="386">
        <f t="shared" si="36"/>
        <v>3428453.2894746065</v>
      </c>
      <c r="D55" s="386">
        <f t="shared" si="37"/>
        <v>-12469504.601672173</v>
      </c>
      <c r="E55" s="55"/>
      <c r="F55" s="387">
        <v>2038</v>
      </c>
      <c r="G55" s="388">
        <v>3.3799322757325387</v>
      </c>
      <c r="H55" s="386">
        <f t="shared" si="38"/>
        <v>-4703632.0831905035</v>
      </c>
      <c r="I55" s="386">
        <f t="shared" si="39"/>
        <v>1014355.6171496223</v>
      </c>
      <c r="J55" s="386">
        <f t="shared" si="40"/>
        <v>-3689276.4660409163</v>
      </c>
    </row>
    <row r="56" spans="1:10">
      <c r="A56" s="387">
        <v>2039</v>
      </c>
      <c r="B56" s="386">
        <f t="shared" si="35"/>
        <v>-16336786.346365929</v>
      </c>
      <c r="C56" s="386">
        <f t="shared" si="36"/>
        <v>3475849.8927496672</v>
      </c>
      <c r="D56" s="386">
        <f t="shared" si="37"/>
        <v>-12860936.453616142</v>
      </c>
      <c r="E56" s="55"/>
      <c r="F56" s="387">
        <v>2039</v>
      </c>
      <c r="G56" s="388">
        <v>3.6165275350338169</v>
      </c>
      <c r="H56" s="386">
        <f t="shared" si="38"/>
        <v>-4517257.5593878813</v>
      </c>
      <c r="I56" s="386">
        <f t="shared" si="39"/>
        <v>961101.45964011468</v>
      </c>
      <c r="J56" s="386">
        <f t="shared" si="40"/>
        <v>-3556156.0997477332</v>
      </c>
    </row>
    <row r="57" spans="1:10">
      <c r="A57" s="387">
        <v>2040</v>
      </c>
      <c r="B57" s="386">
        <f t="shared" si="35"/>
        <v>-16778191.093166351</v>
      </c>
      <c r="C57" s="386">
        <f t="shared" si="36"/>
        <v>3523605.0887854099</v>
      </c>
      <c r="D57" s="386">
        <f t="shared" si="37"/>
        <v>-13254586.00438118</v>
      </c>
      <c r="E57" s="55"/>
      <c r="F57" s="387">
        <v>2040</v>
      </c>
      <c r="G57" s="388">
        <v>3.8696844624861844</v>
      </c>
      <c r="H57" s="386">
        <f t="shared" si="38"/>
        <v>-4335803.4113165764</v>
      </c>
      <c r="I57" s="386">
        <f t="shared" si="39"/>
        <v>910566.51335379772</v>
      </c>
      <c r="J57" s="386">
        <f t="shared" si="40"/>
        <v>-3425236.8979628403</v>
      </c>
    </row>
    <row r="58" spans="1:10">
      <c r="A58" s="387">
        <v>2041</v>
      </c>
      <c r="B58" s="386">
        <f t="shared" si="35"/>
        <v>-17222183.913983345</v>
      </c>
      <c r="C58" s="386">
        <f t="shared" si="36"/>
        <v>3571721.1517163515</v>
      </c>
      <c r="D58" s="386">
        <f t="shared" si="37"/>
        <v>-13650462.762267113</v>
      </c>
      <c r="E58" s="55"/>
      <c r="F58" s="387">
        <v>2041</v>
      </c>
      <c r="G58" s="388">
        <v>4.1405623748602176</v>
      </c>
      <c r="H58" s="386">
        <f t="shared" si="38"/>
        <v>-4159382.7975033834</v>
      </c>
      <c r="I58" s="386">
        <f t="shared" si="39"/>
        <v>862617.40033246821</v>
      </c>
      <c r="J58" s="386">
        <f t="shared" si="40"/>
        <v>-3296765.3971709441</v>
      </c>
    </row>
    <row r="59" spans="1:10">
      <c r="A59" s="387">
        <v>2042</v>
      </c>
      <c r="B59" s="386">
        <f t="shared" si="35"/>
        <v>-17668776.639636993</v>
      </c>
      <c r="C59" s="386">
        <f t="shared" si="36"/>
        <v>3620200.3689121008</v>
      </c>
      <c r="D59" s="386">
        <f t="shared" si="37"/>
        <v>-14048576.27072525</v>
      </c>
      <c r="E59" s="55"/>
      <c r="F59" s="387">
        <v>2042</v>
      </c>
      <c r="G59" s="388">
        <v>4.4304017411004333</v>
      </c>
      <c r="H59" s="386">
        <f t="shared" si="38"/>
        <v>-3988075.5001798961</v>
      </c>
      <c r="I59" s="386">
        <f t="shared" si="39"/>
        <v>817126.88385069731</v>
      </c>
      <c r="J59" s="386">
        <f t="shared" si="40"/>
        <v>-3170948.6163292797</v>
      </c>
    </row>
    <row r="60" spans="1:10">
      <c r="A60" s="387">
        <v>2043</v>
      </c>
      <c r="B60" s="386">
        <f t="shared" si="35"/>
        <v>-18117981.14950943</v>
      </c>
      <c r="C60" s="386">
        <f t="shared" si="36"/>
        <v>3669045.0410512686</v>
      </c>
      <c r="D60" s="386">
        <f t="shared" si="37"/>
        <v>-14448936.108458519</v>
      </c>
      <c r="E60" s="55"/>
      <c r="F60" s="387">
        <v>2043</v>
      </c>
      <c r="G60" s="388">
        <v>4.7405298629774641</v>
      </c>
      <c r="H60" s="386">
        <f t="shared" si="38"/>
        <v>-3821931.6559963119</v>
      </c>
      <c r="I60" s="386">
        <f t="shared" si="39"/>
        <v>773973.61626296979</v>
      </c>
      <c r="J60" s="386">
        <f t="shared" si="40"/>
        <v>-3047958.0397334178</v>
      </c>
    </row>
    <row r="61" spans="1:10">
      <c r="A61" s="387">
        <v>2044</v>
      </c>
      <c r="B61" s="386">
        <f t="shared" si="35"/>
        <v>-18569809.371733665</v>
      </c>
      <c r="C61" s="386">
        <f t="shared" si="36"/>
        <v>3718257.4821946621</v>
      </c>
      <c r="D61" s="386">
        <f t="shared" si="37"/>
        <v>-14851551.889538765</v>
      </c>
      <c r="E61" s="55"/>
      <c r="F61" s="387">
        <v>2044</v>
      </c>
      <c r="G61" s="388">
        <v>5.0723669533858873</v>
      </c>
      <c r="H61" s="386">
        <f t="shared" si="38"/>
        <v>-3660975.1507307682</v>
      </c>
      <c r="I61" s="386">
        <f t="shared" si="39"/>
        <v>733041.89471399831</v>
      </c>
      <c r="J61" s="386">
        <f t="shared" si="40"/>
        <v>-2927933.2560167229</v>
      </c>
    </row>
    <row r="62" spans="1:10">
      <c r="A62" s="387">
        <v>2045</v>
      </c>
      <c r="B62" s="386">
        <f t="shared" si="35"/>
        <v>-19024273.283385277</v>
      </c>
      <c r="C62" s="386">
        <f t="shared" si="36"/>
        <v>3767840.0198597908</v>
      </c>
      <c r="D62" s="386">
        <f t="shared" si="37"/>
        <v>-15256433.263525963</v>
      </c>
      <c r="E62" s="55"/>
      <c r="F62" s="387">
        <v>2045</v>
      </c>
      <c r="G62" s="388">
        <v>5.4274326401229001</v>
      </c>
      <c r="H62" s="386">
        <f t="shared" si="38"/>
        <v>-3505206.7054220475</v>
      </c>
      <c r="I62" s="386">
        <f t="shared" si="39"/>
        <v>694221.42469454417</v>
      </c>
      <c r="J62" s="386">
        <f t="shared" si="40"/>
        <v>-2810985.2807275914</v>
      </c>
    </row>
    <row r="63" spans="1:10">
      <c r="A63" s="387">
        <v>2046</v>
      </c>
      <c r="B63" s="386">
        <f t="shared" si="35"/>
        <v>-19481384.910668373</v>
      </c>
      <c r="C63" s="386">
        <f t="shared" si="36"/>
        <v>3817794.9950948954</v>
      </c>
      <c r="D63" s="386">
        <f t="shared" si="37"/>
        <v>-15663589.915574074</v>
      </c>
      <c r="E63" s="55"/>
      <c r="F63" s="387">
        <v>2046</v>
      </c>
      <c r="G63" s="388">
        <v>5.8073529249315037</v>
      </c>
      <c r="H63" s="386">
        <f t="shared" si="38"/>
        <v>-3354606.6792381406</v>
      </c>
      <c r="I63" s="386">
        <f t="shared" si="39"/>
        <v>657407.09139696811</v>
      </c>
      <c r="J63" s="386">
        <f t="shared" si="40"/>
        <v>-2697199.5878412747</v>
      </c>
    </row>
    <row r="64" spans="1:10">
      <c r="A64" s="387">
        <v>2047</v>
      </c>
      <c r="B64" s="386">
        <f t="shared" si="35"/>
        <v>-19941156.329106331</v>
      </c>
      <c r="C64" s="386">
        <f t="shared" si="36"/>
        <v>3868124.7625533342</v>
      </c>
      <c r="D64" s="386">
        <f t="shared" si="37"/>
        <v>-16073031.566553116</v>
      </c>
      <c r="E64" s="55"/>
      <c r="F64" s="387">
        <v>2047</v>
      </c>
      <c r="G64" s="388">
        <v>6.2138676296767095</v>
      </c>
      <c r="H64" s="386">
        <f t="shared" si="38"/>
        <v>-3209137.6124379742</v>
      </c>
      <c r="I64" s="386">
        <f t="shared" si="39"/>
        <v>622498.73880151869</v>
      </c>
      <c r="J64" s="386">
        <f t="shared" si="40"/>
        <v>-2586638.8736364748</v>
      </c>
    </row>
    <row r="65" spans="1:10">
      <c r="A65" s="387">
        <v>2048</v>
      </c>
      <c r="B65" s="386">
        <f t="shared" si="35"/>
        <v>-20403599.66373539</v>
      </c>
      <c r="C65" s="386">
        <f t="shared" si="36"/>
        <v>3918831.6905691624</v>
      </c>
      <c r="D65" s="386">
        <f t="shared" si="37"/>
        <v>-16484767.973166466</v>
      </c>
      <c r="E65" s="55"/>
      <c r="F65" s="387">
        <v>2048</v>
      </c>
      <c r="G65" s="388">
        <v>6.6488383637540798</v>
      </c>
      <c r="H65" s="386">
        <f t="shared" si="38"/>
        <v>-3068746.5309677147</v>
      </c>
      <c r="I65" s="386">
        <f t="shared" si="39"/>
        <v>589400.95640353393</v>
      </c>
      <c r="J65" s="386">
        <f t="shared" si="40"/>
        <v>-2479345.5745642167</v>
      </c>
    </row>
    <row r="66" spans="1:10">
      <c r="A66" s="387">
        <f>A65+1</f>
        <v>2049</v>
      </c>
      <c r="B66" s="386">
        <f t="shared" si="35"/>
        <v>-20868727.089290619</v>
      </c>
      <c r="C66" s="386">
        <f t="shared" si="36"/>
        <v>3969918.1612336636</v>
      </c>
      <c r="D66" s="386">
        <f t="shared" si="37"/>
        <v>-16898808.928057671</v>
      </c>
      <c r="E66" s="55"/>
      <c r="F66" s="387">
        <f>F65+1</f>
        <v>2049</v>
      </c>
      <c r="G66" s="388">
        <v>7.1142570492168655</v>
      </c>
      <c r="H66" s="386">
        <f t="shared" si="38"/>
        <v>-2933367.0325544169</v>
      </c>
      <c r="I66" s="386">
        <f t="shared" si="39"/>
        <v>558022.87347357941</v>
      </c>
      <c r="J66" s="386">
        <f t="shared" si="40"/>
        <v>-2375344.159080938</v>
      </c>
    </row>
    <row r="67" spans="1:10">
      <c r="A67" s="387">
        <f t="shared" ref="A67:A71" si="41">A66+1</f>
        <v>2050</v>
      </c>
      <c r="B67" s="386">
        <f t="shared" si="35"/>
        <v>-21336550.830399513</v>
      </c>
      <c r="C67" s="386">
        <f t="shared" si="36"/>
        <v>4021386.5704693794</v>
      </c>
      <c r="D67" s="386">
        <f t="shared" si="37"/>
        <v>-17315164.259929657</v>
      </c>
      <c r="E67" s="55"/>
      <c r="F67" s="387">
        <f t="shared" ref="F67:F71" si="42">F66+1</f>
        <v>2050</v>
      </c>
      <c r="G67" s="388">
        <v>7.6122550426620466</v>
      </c>
      <c r="H67" s="386">
        <f t="shared" si="38"/>
        <v>-2802921.1726119472</v>
      </c>
      <c r="I67" s="386">
        <f t="shared" si="39"/>
        <v>528277.96072674403</v>
      </c>
      <c r="J67" s="386">
        <f t="shared" si="40"/>
        <v>-2274643.2118851407</v>
      </c>
    </row>
    <row r="68" spans="1:10">
      <c r="A68" s="387">
        <f t="shared" si="41"/>
        <v>2051</v>
      </c>
      <c r="B68" s="386">
        <f t="shared" si="35"/>
        <v>-21336550.830399513</v>
      </c>
      <c r="C68" s="386">
        <f t="shared" si="36"/>
        <v>4021386.5704693794</v>
      </c>
      <c r="D68" s="386">
        <f t="shared" si="37"/>
        <v>-17315164.259929657</v>
      </c>
      <c r="E68" s="55"/>
      <c r="F68" s="387">
        <f t="shared" si="42"/>
        <v>2051</v>
      </c>
      <c r="G68" s="388">
        <v>8.1451128956483902</v>
      </c>
      <c r="H68" s="386">
        <f t="shared" si="38"/>
        <v>-2619552.4977681749</v>
      </c>
      <c r="I68" s="386">
        <f t="shared" si="39"/>
        <v>493717.72030536819</v>
      </c>
      <c r="J68" s="386">
        <f t="shared" si="40"/>
        <v>-2125834.7774627483</v>
      </c>
    </row>
    <row r="69" spans="1:10">
      <c r="A69" s="387">
        <f t="shared" si="41"/>
        <v>2052</v>
      </c>
      <c r="B69" s="386">
        <f t="shared" si="35"/>
        <v>-21336550.830399513</v>
      </c>
      <c r="C69" s="386">
        <f t="shared" si="36"/>
        <v>4021386.5704693794</v>
      </c>
      <c r="D69" s="386">
        <f t="shared" si="37"/>
        <v>-17315164.259929657</v>
      </c>
      <c r="E69" s="55"/>
      <c r="F69" s="387">
        <f t="shared" si="42"/>
        <v>2052</v>
      </c>
      <c r="G69" s="388">
        <v>8.7152707983437789</v>
      </c>
      <c r="H69" s="386">
        <f t="shared" si="38"/>
        <v>-2448179.9044562378</v>
      </c>
      <c r="I69" s="386">
        <f t="shared" si="39"/>
        <v>461418.43019193283</v>
      </c>
      <c r="J69" s="386">
        <f t="shared" si="40"/>
        <v>-1986761.4742642504</v>
      </c>
    </row>
    <row r="70" spans="1:10">
      <c r="A70" s="387">
        <f t="shared" si="41"/>
        <v>2053</v>
      </c>
      <c r="B70" s="386">
        <f t="shared" si="35"/>
        <v>-21336550.830399513</v>
      </c>
      <c r="C70" s="386">
        <f t="shared" si="36"/>
        <v>4021386.5704693794</v>
      </c>
      <c r="D70" s="386">
        <f t="shared" si="37"/>
        <v>-17315164.259929657</v>
      </c>
      <c r="E70" s="55"/>
      <c r="F70" s="387">
        <f t="shared" si="42"/>
        <v>2053</v>
      </c>
      <c r="G70" s="388">
        <v>9.3253397542278442</v>
      </c>
      <c r="H70" s="386">
        <f t="shared" si="38"/>
        <v>-2288018.6022955491</v>
      </c>
      <c r="I70" s="386">
        <f t="shared" si="39"/>
        <v>431232.17774946988</v>
      </c>
      <c r="J70" s="386">
        <f t="shared" si="40"/>
        <v>-1856786.4245460283</v>
      </c>
    </row>
    <row r="71" spans="1:10">
      <c r="A71" s="387">
        <f t="shared" si="41"/>
        <v>2054</v>
      </c>
      <c r="B71" s="386">
        <f t="shared" si="35"/>
        <v>-21336550.830399513</v>
      </c>
      <c r="C71" s="386">
        <f t="shared" si="36"/>
        <v>4021386.5704693794</v>
      </c>
      <c r="D71" s="386">
        <f t="shared" si="37"/>
        <v>-17315164.259929657</v>
      </c>
      <c r="E71" s="55"/>
      <c r="F71" s="387">
        <f t="shared" si="42"/>
        <v>2054</v>
      </c>
      <c r="G71" s="388">
        <v>9.9781135370237948</v>
      </c>
      <c r="H71" s="386">
        <f t="shared" si="38"/>
        <v>-2138335.1423322889</v>
      </c>
      <c r="I71" s="386">
        <f t="shared" si="39"/>
        <v>403020.72686866339</v>
      </c>
      <c r="J71" s="386">
        <f t="shared" si="40"/>
        <v>-1735314.4154635775</v>
      </c>
    </row>
    <row r="72" spans="1:10">
      <c r="A72" s="161"/>
      <c r="I72"/>
      <c r="J72"/>
    </row>
    <row r="73" spans="1:10">
      <c r="A73" s="267" t="s">
        <v>208</v>
      </c>
      <c r="I73"/>
      <c r="J73"/>
    </row>
  </sheetData>
  <mergeCells count="8">
    <mergeCell ref="A40:D40"/>
    <mergeCell ref="A5:D5"/>
    <mergeCell ref="N5:Q5"/>
    <mergeCell ref="S5:U5"/>
    <mergeCell ref="F5:H5"/>
    <mergeCell ref="J5:L5"/>
    <mergeCell ref="F39:J39"/>
    <mergeCell ref="F40:J40"/>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B65"/>
  <sheetViews>
    <sheetView workbookViewId="0">
      <selection activeCell="C3" sqref="C3"/>
    </sheetView>
  </sheetViews>
  <sheetFormatPr defaultRowHeight="14.4"/>
  <cols>
    <col min="2" max="2" width="18.88671875" customWidth="1"/>
    <col min="3" max="3" width="16.44140625" customWidth="1"/>
    <col min="4" max="4" width="11.5546875" bestFit="1" customWidth="1"/>
    <col min="5" max="6" width="13.44140625" bestFit="1" customWidth="1"/>
    <col min="7" max="7" width="11.5546875" bestFit="1" customWidth="1"/>
    <col min="12" max="12" width="12.33203125" style="161" customWidth="1"/>
    <col min="13" max="15" width="9.6640625" style="161" customWidth="1"/>
    <col min="16" max="16" width="11.5546875" style="161" bestFit="1" customWidth="1"/>
    <col min="17" max="17" width="6.6640625" style="161" customWidth="1"/>
    <col min="18" max="18" width="9.109375" style="161"/>
    <col min="19" max="19" width="9.109375" style="182"/>
    <col min="23" max="23" width="9.109375" style="245"/>
    <col min="24" max="24" width="11.109375" customWidth="1"/>
    <col min="25" max="25" width="11" style="161" customWidth="1"/>
    <col min="26" max="26" width="9.33203125" style="161" bestFit="1" customWidth="1"/>
    <col min="27" max="27" width="13.88671875" style="161" customWidth="1"/>
  </cols>
  <sheetData>
    <row r="1" spans="1:28" s="182" customFormat="1" ht="22.8">
      <c r="A1" s="271" t="str">
        <f>'Title Sheet'!$A$2</f>
        <v>Benefit-Cost Analysis Spreadsheet for the Illinois International Port - Calumet Bridges Rehabilitation Project</v>
      </c>
      <c r="L1" s="161"/>
      <c r="M1" s="161"/>
      <c r="N1" s="161"/>
      <c r="O1" s="161"/>
      <c r="P1" s="161"/>
      <c r="Q1" s="161"/>
      <c r="R1" s="161"/>
      <c r="W1" s="245"/>
      <c r="Y1" s="161"/>
      <c r="Z1" s="161"/>
      <c r="AA1" s="161"/>
    </row>
    <row r="2" spans="1:28" s="182" customFormat="1" ht="15.75" customHeight="1">
      <c r="A2" s="189"/>
      <c r="L2" s="161"/>
      <c r="M2" s="161"/>
      <c r="N2" s="161"/>
      <c r="O2" s="161"/>
      <c r="P2" s="161"/>
      <c r="Q2" s="161"/>
      <c r="R2" s="161"/>
      <c r="W2" s="245"/>
      <c r="Y2" s="161"/>
      <c r="Z2" s="161"/>
      <c r="AA2" s="161"/>
    </row>
    <row r="3" spans="1:28" s="182" customFormat="1" ht="43.2">
      <c r="B3" s="438" t="s">
        <v>1</v>
      </c>
      <c r="C3" s="438" t="s">
        <v>257</v>
      </c>
      <c r="D3" s="434" t="s">
        <v>261</v>
      </c>
      <c r="E3" s="434" t="s">
        <v>260</v>
      </c>
      <c r="F3" s="434" t="s">
        <v>259</v>
      </c>
      <c r="G3" s="434" t="s">
        <v>258</v>
      </c>
      <c r="L3" s="161"/>
      <c r="M3" s="161"/>
      <c r="N3" s="161"/>
      <c r="O3" s="161"/>
      <c r="P3" s="161"/>
      <c r="Q3" s="161"/>
      <c r="R3" s="161"/>
      <c r="W3" s="245"/>
      <c r="Y3" s="161"/>
      <c r="Z3" s="161"/>
      <c r="AA3" s="161"/>
    </row>
    <row r="4" spans="1:28" s="182" customFormat="1" ht="18">
      <c r="B4" s="437">
        <v>2010</v>
      </c>
      <c r="C4" s="435">
        <v>11725295000</v>
      </c>
      <c r="D4" s="435">
        <v>127</v>
      </c>
      <c r="E4" s="435">
        <v>15871</v>
      </c>
      <c r="F4" s="435">
        <v>64790</v>
      </c>
      <c r="G4" s="435">
        <f t="shared" ref="G4:G12" si="0">SUM(D4:F4)</f>
        <v>80788</v>
      </c>
      <c r="L4" s="489" t="s">
        <v>176</v>
      </c>
      <c r="M4" s="489"/>
      <c r="N4" s="489"/>
      <c r="O4" s="489"/>
      <c r="P4" s="489"/>
      <c r="Q4" s="489"/>
      <c r="R4" s="489"/>
      <c r="S4" s="489"/>
      <c r="T4" s="489"/>
      <c r="U4" s="489"/>
      <c r="V4" s="489"/>
      <c r="W4" s="489"/>
      <c r="X4" s="489"/>
      <c r="Y4" s="489"/>
      <c r="Z4" s="489"/>
      <c r="AA4" s="489"/>
      <c r="AB4" s="489"/>
    </row>
    <row r="5" spans="1:28">
      <c r="B5" s="437">
        <v>2111</v>
      </c>
      <c r="C5" s="435">
        <v>11194095000</v>
      </c>
      <c r="D5" s="435">
        <v>109</v>
      </c>
      <c r="E5" s="435">
        <v>14813</v>
      </c>
      <c r="F5" s="435">
        <v>63004</v>
      </c>
      <c r="G5" s="435">
        <f t="shared" si="0"/>
        <v>77926</v>
      </c>
      <c r="L5" s="260"/>
      <c r="M5" s="260"/>
      <c r="N5" s="260"/>
      <c r="O5" s="260"/>
      <c r="P5" s="260"/>
      <c r="Q5" s="260"/>
      <c r="R5" s="260"/>
      <c r="S5" s="31"/>
      <c r="T5" s="31"/>
      <c r="U5" s="31"/>
      <c r="V5" s="31"/>
      <c r="W5" s="274"/>
      <c r="X5" s="31"/>
      <c r="Y5" s="260"/>
      <c r="Z5" s="260"/>
      <c r="AA5" s="260"/>
    </row>
    <row r="6" spans="1:28" ht="18">
      <c r="B6" s="437">
        <v>2012</v>
      </c>
      <c r="C6" s="435">
        <v>11093081000</v>
      </c>
      <c r="D6" s="435">
        <v>134</v>
      </c>
      <c r="E6" s="435">
        <v>14886</v>
      </c>
      <c r="F6" s="435">
        <v>62537</v>
      </c>
      <c r="G6" s="435">
        <f t="shared" si="0"/>
        <v>77557</v>
      </c>
      <c r="L6" s="488" t="s">
        <v>9</v>
      </c>
      <c r="M6" s="488"/>
      <c r="N6" s="488"/>
      <c r="O6" s="488"/>
      <c r="P6" s="488"/>
      <c r="Q6" s="260"/>
      <c r="R6" s="488" t="s">
        <v>8</v>
      </c>
      <c r="S6" s="488"/>
      <c r="T6" s="488" t="s">
        <v>3</v>
      </c>
      <c r="U6" s="488"/>
      <c r="V6" s="488"/>
      <c r="W6" s="275"/>
      <c r="X6" s="488" t="s">
        <v>207</v>
      </c>
      <c r="Y6" s="488"/>
      <c r="Z6" s="488"/>
      <c r="AA6" s="488"/>
      <c r="AB6" s="488"/>
    </row>
    <row r="7" spans="1:28">
      <c r="B7" s="437">
        <v>2013</v>
      </c>
      <c r="C7" s="435">
        <v>11150109000</v>
      </c>
      <c r="D7" s="435">
        <v>120</v>
      </c>
      <c r="E7" s="435">
        <v>14742</v>
      </c>
      <c r="F7" s="435">
        <v>64522</v>
      </c>
      <c r="G7" s="435">
        <f t="shared" si="0"/>
        <v>79384</v>
      </c>
      <c r="L7" s="359" t="s">
        <v>1</v>
      </c>
      <c r="M7" s="359" t="s">
        <v>4</v>
      </c>
      <c r="N7" s="359" t="s">
        <v>7</v>
      </c>
      <c r="O7" s="359" t="s">
        <v>5</v>
      </c>
      <c r="P7" s="359" t="s">
        <v>6</v>
      </c>
      <c r="Q7" s="260"/>
      <c r="R7" s="359" t="s">
        <v>1</v>
      </c>
      <c r="S7" s="359" t="s">
        <v>4</v>
      </c>
      <c r="T7" s="359" t="s">
        <v>7</v>
      </c>
      <c r="U7" s="359" t="s">
        <v>5</v>
      </c>
      <c r="V7" s="359" t="s">
        <v>6</v>
      </c>
      <c r="W7" s="276"/>
      <c r="X7" s="359" t="s">
        <v>1</v>
      </c>
      <c r="Y7" s="359" t="s">
        <v>4</v>
      </c>
      <c r="Z7" s="359" t="s">
        <v>7</v>
      </c>
      <c r="AA7" s="359" t="s">
        <v>5</v>
      </c>
      <c r="AB7" s="359" t="s">
        <v>6</v>
      </c>
    </row>
    <row r="8" spans="1:28">
      <c r="B8" s="437">
        <v>2014</v>
      </c>
      <c r="C8" s="435">
        <v>10553944000</v>
      </c>
      <c r="D8" s="435">
        <v>105</v>
      </c>
      <c r="E8" s="435">
        <v>14404</v>
      </c>
      <c r="F8" s="435">
        <v>68235</v>
      </c>
      <c r="G8" s="435">
        <f t="shared" si="0"/>
        <v>82744</v>
      </c>
      <c r="L8" s="358">
        <v>2025</v>
      </c>
      <c r="M8" s="389">
        <f>D$15*'VMT to VOC Savings'!$D7</f>
        <v>126.39856687080926</v>
      </c>
      <c r="N8" s="389">
        <f>E$15*'VMT to VOC Savings'!$D7</f>
        <v>16573.93347486094</v>
      </c>
      <c r="O8" s="389">
        <f>F$15*'VMT to VOC Savings'!$D7</f>
        <v>75312.793851486218</v>
      </c>
      <c r="P8" s="389">
        <f>G$15*'VMT to VOC Savings'!$D7</f>
        <v>92013.125893217963</v>
      </c>
      <c r="Q8" s="261"/>
      <c r="R8" s="358">
        <v>2025</v>
      </c>
      <c r="S8" s="390">
        <f>D$15*'VMT to VOC Savings'!$H7</f>
        <v>126.17832823949563</v>
      </c>
      <c r="T8" s="390">
        <f>E$15*'VMT to VOC Savings'!$H7</f>
        <v>16545.054821294263</v>
      </c>
      <c r="U8" s="390">
        <f>F$15*'VMT to VOC Savings'!$H7</f>
        <v>75181.567785804553</v>
      </c>
      <c r="V8" s="390">
        <f>G$15*'VMT to VOC Savings'!$H7</f>
        <v>91852.80093533831</v>
      </c>
      <c r="X8" s="358">
        <v>2025</v>
      </c>
      <c r="Y8" s="392">
        <f t="shared" ref="Y8:Y11" si="1">S8-M8</f>
        <v>-0.22023863131363441</v>
      </c>
      <c r="Z8" s="392">
        <f t="shared" ref="Z8:Z11" si="2">T8-N8</f>
        <v>-28.878653566676803</v>
      </c>
      <c r="AA8" s="392">
        <f t="shared" ref="AA8:AA11" si="3">U8-O8</f>
        <v>-131.2260656816652</v>
      </c>
      <c r="AB8" s="393">
        <f t="shared" ref="AB8:AB11" si="4">SUM(Y8:AA8)</f>
        <v>-160.32495787965564</v>
      </c>
    </row>
    <row r="9" spans="1:28">
      <c r="B9" s="437">
        <v>2015</v>
      </c>
      <c r="C9" s="435">
        <v>10631869000</v>
      </c>
      <c r="D9" s="435">
        <v>112</v>
      </c>
      <c r="E9" s="435">
        <v>15827</v>
      </c>
      <c r="F9" s="435">
        <v>74457</v>
      </c>
      <c r="G9" s="435">
        <f t="shared" si="0"/>
        <v>90396</v>
      </c>
      <c r="L9" s="358">
        <v>2026</v>
      </c>
      <c r="M9" s="389">
        <f>D$15*'VMT to VOC Savings'!$D8</f>
        <v>126.81128062502714</v>
      </c>
      <c r="N9" s="389">
        <f>E$15*'VMT to VOC Savings'!$D8</f>
        <v>16628.050309219976</v>
      </c>
      <c r="O9" s="389">
        <f>F$15*'VMT to VOC Savings'!$D8</f>
        <v>75558.703490025495</v>
      </c>
      <c r="P9" s="389">
        <f>G$15*'VMT to VOC Savings'!$D8</f>
        <v>92313.565079870503</v>
      </c>
      <c r="Q9" s="261"/>
      <c r="R9" s="358">
        <v>2026</v>
      </c>
      <c r="S9" s="390">
        <f>D$15*'VMT to VOC Savings'!$H8</f>
        <v>126.5816637621746</v>
      </c>
      <c r="T9" s="390">
        <f>E$15*'VMT to VOC Savings'!$H8</f>
        <v>16597.941940874993</v>
      </c>
      <c r="U9" s="390">
        <f>F$15*'VMT to VOC Savings'!$H8</f>
        <v>75421.889538056304</v>
      </c>
      <c r="V9" s="390">
        <f>G$15*'VMT to VOC Savings'!$H8</f>
        <v>92146.413142693462</v>
      </c>
      <c r="W9" s="277"/>
      <c r="X9" s="358">
        <v>2026</v>
      </c>
      <c r="Y9" s="392">
        <f t="shared" si="1"/>
        <v>-0.22961686285253791</v>
      </c>
      <c r="Z9" s="392">
        <f t="shared" si="2"/>
        <v>-30.108368344983319</v>
      </c>
      <c r="AA9" s="392">
        <f t="shared" si="3"/>
        <v>-136.81395196919038</v>
      </c>
      <c r="AB9" s="393">
        <f t="shared" si="4"/>
        <v>-167.15193717702624</v>
      </c>
    </row>
    <row r="10" spans="1:28">
      <c r="B10" s="437">
        <v>2016</v>
      </c>
      <c r="C10" s="435">
        <v>10739726000</v>
      </c>
      <c r="D10" s="435">
        <v>111</v>
      </c>
      <c r="E10" s="435">
        <v>15635</v>
      </c>
      <c r="F10" s="435">
        <v>82491</v>
      </c>
      <c r="G10" s="435">
        <f t="shared" si="0"/>
        <v>98237</v>
      </c>
      <c r="L10" s="358">
        <v>2027</v>
      </c>
      <c r="M10" s="389">
        <f>D$15*'VMT to VOC Savings'!$D9</f>
        <v>127.22536003227052</v>
      </c>
      <c r="N10" s="389">
        <f>E$15*'VMT to VOC Savings'!$D9</f>
        <v>16682.346213982695</v>
      </c>
      <c r="O10" s="389">
        <f>F$15*'VMT to VOC Savings'!$D9</f>
        <v>75805.426833556281</v>
      </c>
      <c r="P10" s="389">
        <f>G$15*'VMT to VOC Savings'!$D9</f>
        <v>92614.998407571242</v>
      </c>
      <c r="Q10" s="261"/>
      <c r="R10" s="358">
        <v>2027</v>
      </c>
      <c r="S10" s="390">
        <f>D$15*'VMT to VOC Savings'!$H9</f>
        <v>126.98630977766554</v>
      </c>
      <c r="T10" s="390">
        <f>E$15*'VMT to VOC Savings'!$H9</f>
        <v>16651.000898010709</v>
      </c>
      <c r="U10" s="390">
        <f>F$15*'VMT to VOC Savings'!$H9</f>
        <v>75662.992128868442</v>
      </c>
      <c r="V10" s="390">
        <f>G$15*'VMT to VOC Savings'!$H9</f>
        <v>92440.979336656819</v>
      </c>
      <c r="W10" s="277"/>
      <c r="X10" s="358">
        <v>2027</v>
      </c>
      <c r="Y10" s="392">
        <f t="shared" si="1"/>
        <v>-0.23905025460497598</v>
      </c>
      <c r="Z10" s="392">
        <f t="shared" si="2"/>
        <v>-31.345315971986565</v>
      </c>
      <c r="AA10" s="392">
        <f t="shared" si="3"/>
        <v>-142.43470468783926</v>
      </c>
      <c r="AB10" s="393">
        <f t="shared" si="4"/>
        <v>-174.01907091443081</v>
      </c>
    </row>
    <row r="11" spans="1:28">
      <c r="B11" s="437">
        <v>2017</v>
      </c>
      <c r="C11" s="435">
        <v>10896135000</v>
      </c>
      <c r="D11" s="435">
        <v>133</v>
      </c>
      <c r="E11" s="435">
        <v>16880</v>
      </c>
      <c r="F11" s="435">
        <v>78289</v>
      </c>
      <c r="G11" s="435">
        <f t="shared" si="0"/>
        <v>95302</v>
      </c>
      <c r="L11" s="358">
        <v>2028</v>
      </c>
      <c r="M11" s="389">
        <f>D$15*'VMT to VOC Savings'!$D10</f>
        <v>127.64080968998537</v>
      </c>
      <c r="N11" s="389">
        <f>E$15*'VMT to VOC Savings'!$D10</f>
        <v>16736.821791986342</v>
      </c>
      <c r="O11" s="389">
        <f>F$15*'VMT to VOC Savings'!$D10</f>
        <v>76052.966621401589</v>
      </c>
      <c r="P11" s="389">
        <f>G$15*'VMT to VOC Savings'!$D10</f>
        <v>92917.42922307791</v>
      </c>
      <c r="Q11" s="261"/>
      <c r="R11" s="358">
        <v>2028</v>
      </c>
      <c r="S11" s="390">
        <f>D$15*'VMT to VOC Savings'!$H10</f>
        <v>127.39227063644088</v>
      </c>
      <c r="T11" s="390">
        <f>E$15*'VMT to VOC Savings'!$H10</f>
        <v>16704.232263154405</v>
      </c>
      <c r="U11" s="390">
        <f>F$15*'VMT to VOC Savings'!$H10</f>
        <v>75904.878150408302</v>
      </c>
      <c r="V11" s="390">
        <f>G$15*'VMT to VOC Savings'!$H10</f>
        <v>92736.502684199149</v>
      </c>
      <c r="W11" s="277"/>
      <c r="X11" s="358">
        <v>2028</v>
      </c>
      <c r="Y11" s="392">
        <f t="shared" si="1"/>
        <v>-0.24853905354449068</v>
      </c>
      <c r="Z11" s="392">
        <f t="shared" si="2"/>
        <v>-32.589528831937059</v>
      </c>
      <c r="AA11" s="392">
        <f t="shared" si="3"/>
        <v>-148.08847099328705</v>
      </c>
      <c r="AB11" s="393">
        <f t="shared" si="4"/>
        <v>-180.92653887876861</v>
      </c>
    </row>
    <row r="12" spans="1:28">
      <c r="B12" s="437">
        <v>2018</v>
      </c>
      <c r="C12" s="435">
        <v>11187444000</v>
      </c>
      <c r="D12" s="435">
        <v>121</v>
      </c>
      <c r="E12" s="435">
        <v>17732</v>
      </c>
      <c r="F12" s="435">
        <v>81006</v>
      </c>
      <c r="G12" s="435">
        <f t="shared" si="0"/>
        <v>98859</v>
      </c>
      <c r="L12" s="375">
        <v>2029</v>
      </c>
      <c r="M12" s="389">
        <f>D$15*'VMT to VOC Savings'!$D11</f>
        <v>128.05763421143203</v>
      </c>
      <c r="N12" s="389">
        <f>E$15*'VMT to VOC Savings'!$D11</f>
        <v>16791.477648141801</v>
      </c>
      <c r="O12" s="389">
        <f>F$15*'VMT to VOC Savings'!$D11</f>
        <v>76301.32560230713</v>
      </c>
      <c r="P12" s="389">
        <f>G$15*'VMT to VOC Savings'!$D11</f>
        <v>93220.86088466036</v>
      </c>
      <c r="Q12" s="261"/>
      <c r="R12" s="375">
        <v>2029</v>
      </c>
      <c r="S12" s="391">
        <f>D$15*'VMT to VOC Savings'!$H11</f>
        <v>127.79955070381236</v>
      </c>
      <c r="T12" s="391">
        <f>E$15*'VMT to VOC Savings'!$H11</f>
        <v>16757.636608704866</v>
      </c>
      <c r="U12" s="391">
        <f>F$15*'VMT to VOC Savings'!$H11</f>
        <v>76147.550203684965</v>
      </c>
      <c r="V12" s="391">
        <f>G$15*'VMT to VOC Savings'!$H11</f>
        <v>93032.986363093645</v>
      </c>
      <c r="W12" s="278"/>
      <c r="X12" s="375">
        <v>2029</v>
      </c>
      <c r="Y12" s="392">
        <f>S12-M12</f>
        <v>-0.25808350761967347</v>
      </c>
      <c r="Z12" s="392">
        <f t="shared" ref="Z12:AA27" si="5">T12-N12</f>
        <v>-33.841039436934807</v>
      </c>
      <c r="AA12" s="392">
        <f t="shared" si="5"/>
        <v>-153.77539862216508</v>
      </c>
      <c r="AB12" s="393">
        <f>SUM(Y12:AA12)</f>
        <v>-187.87452156671958</v>
      </c>
    </row>
    <row r="13" spans="1:28">
      <c r="B13" s="437">
        <v>2019</v>
      </c>
      <c r="C13" s="435">
        <v>11087017000</v>
      </c>
      <c r="D13" s="435">
        <v>134</v>
      </c>
      <c r="E13" s="435">
        <v>17346</v>
      </c>
      <c r="F13" s="435">
        <v>79247</v>
      </c>
      <c r="G13" s="435">
        <f>SUM(D13:F13)</f>
        <v>96727</v>
      </c>
      <c r="L13" s="375">
        <v>2030</v>
      </c>
      <c r="M13" s="389">
        <f>D$15*'VMT to VOC Savings'!$D12</f>
        <v>128.47583822574069</v>
      </c>
      <c r="N13" s="389">
        <f>E$15*'VMT to VOC Savings'!$D12</f>
        <v>16846.314389440904</v>
      </c>
      <c r="O13" s="389">
        <f>F$15*'VMT to VOC Savings'!$D12</f>
        <v>76550.506534474538</v>
      </c>
      <c r="P13" s="389">
        <f>G$15*'VMT to VOC Savings'!$D12</f>
        <v>93525.296762141181</v>
      </c>
      <c r="Q13" s="261"/>
      <c r="R13" s="375">
        <v>2030</v>
      </c>
      <c r="S13" s="391">
        <f>D$15*'VMT to VOC Savings'!$H12</f>
        <v>128.20815435998313</v>
      </c>
      <c r="T13" s="391">
        <f>E$15*'VMT to VOC Savings'!$H12</f>
        <v>16811.214509013505</v>
      </c>
      <c r="U13" s="391">
        <f>F$15*'VMT to VOC Savings'!$H12</f>
        <v>76391.010898580382</v>
      </c>
      <c r="V13" s="391">
        <f>G$15*'VMT to VOC Savings'!$H12</f>
        <v>93330.433561953876</v>
      </c>
      <c r="W13" s="277"/>
      <c r="X13" s="375">
        <v>2030</v>
      </c>
      <c r="Y13" s="392">
        <f>S13-M13</f>
        <v>-0.26768386575756153</v>
      </c>
      <c r="Z13" s="392">
        <f t="shared" si="5"/>
        <v>-35.099880427398602</v>
      </c>
      <c r="AA13" s="392">
        <f t="shared" si="5"/>
        <v>-159.49563589415629</v>
      </c>
      <c r="AB13" s="393">
        <f t="shared" ref="AB13:AB38" si="6">SUM(Y13:AA13)</f>
        <v>-194.86320018731246</v>
      </c>
    </row>
    <row r="14" spans="1:28">
      <c r="B14" s="439" t="s">
        <v>264</v>
      </c>
      <c r="C14" s="440">
        <f>SUM(C4:C13)</f>
        <v>110258715000</v>
      </c>
      <c r="D14" s="435">
        <f t="shared" ref="D14:G14" si="7">SUM(D4:D13)</f>
        <v>1206</v>
      </c>
      <c r="E14" s="435">
        <f t="shared" si="7"/>
        <v>158136</v>
      </c>
      <c r="F14" s="435">
        <f t="shared" si="7"/>
        <v>718578</v>
      </c>
      <c r="G14" s="435">
        <f t="shared" si="7"/>
        <v>877920</v>
      </c>
      <c r="L14" s="375">
        <v>2031</v>
      </c>
      <c r="M14" s="389">
        <f>D$15*'VMT to VOC Savings'!$D13</f>
        <v>128.89542637796777</v>
      </c>
      <c r="N14" s="389">
        <f>E$15*'VMT to VOC Savings'!$D13</f>
        <v>16901.332624963772</v>
      </c>
      <c r="O14" s="389">
        <f>F$15*'VMT to VOC Savings'!$D13</f>
        <v>76800.512185594795</v>
      </c>
      <c r="P14" s="389">
        <f>G$15*'VMT to VOC Savings'!$D13</f>
        <v>93830.74023693653</v>
      </c>
      <c r="Q14" s="261"/>
      <c r="R14" s="375">
        <v>2031</v>
      </c>
      <c r="S14" s="391">
        <f>D$15*'VMT to VOC Savings'!$H13</f>
        <v>128.61808600010042</v>
      </c>
      <c r="T14" s="391">
        <f>E$15*'VMT to VOC Savings'!$H13</f>
        <v>16864.966540391273</v>
      </c>
      <c r="U14" s="391">
        <f>F$15*'VMT to VOC Savings'!$H13</f>
        <v>76635.262853880718</v>
      </c>
      <c r="V14" s="391">
        <f>G$15*'VMT to VOC Savings'!$H13</f>
        <v>93628.847480272088</v>
      </c>
      <c r="W14" s="277"/>
      <c r="X14" s="375">
        <v>2031</v>
      </c>
      <c r="Y14" s="392">
        <f t="shared" ref="Y14:Y37" si="8">S14-M14</f>
        <v>-0.27734037786734689</v>
      </c>
      <c r="Z14" s="392">
        <f t="shared" si="5"/>
        <v>-36.366084572498949</v>
      </c>
      <c r="AA14" s="392">
        <f t="shared" si="5"/>
        <v>-165.24933171407611</v>
      </c>
      <c r="AB14" s="393">
        <f t="shared" si="6"/>
        <v>-201.8927566644424</v>
      </c>
    </row>
    <row r="15" spans="1:28">
      <c r="B15" s="436"/>
      <c r="C15" s="436" t="s">
        <v>265</v>
      </c>
      <c r="D15" s="441">
        <f>D14/$C$14</f>
        <v>1.0937910894390526E-8</v>
      </c>
      <c r="E15" s="441">
        <f t="shared" ref="E15:G15" si="9">E14/$C$14</f>
        <v>1.4342267638435656E-6</v>
      </c>
      <c r="F15" s="441">
        <f t="shared" si="9"/>
        <v>6.5171991166412563E-6</v>
      </c>
      <c r="G15" s="441">
        <f t="shared" si="9"/>
        <v>7.9623637913792122E-6</v>
      </c>
      <c r="L15" s="375">
        <v>2032</v>
      </c>
      <c r="M15" s="389">
        <f>D$15*'VMT to VOC Savings'!$D14</f>
        <v>129.31640332915183</v>
      </c>
      <c r="N15" s="389">
        <f>E$15*'VMT to VOC Savings'!$D14</f>
        <v>16956.532965886196</v>
      </c>
      <c r="O15" s="389">
        <f>F$15*'VMT to VOC Savings'!$D14</f>
        <v>77051.345332881654</v>
      </c>
      <c r="P15" s="389">
        <f>G$15*'VMT to VOC Savings'!$D14</f>
        <v>94137.194702096996</v>
      </c>
      <c r="Q15" s="261"/>
      <c r="R15" s="375">
        <v>2032</v>
      </c>
      <c r="S15" s="391">
        <f>D$15*'VMT to VOC Savings'!$H14</f>
        <v>129.0293500343081</v>
      </c>
      <c r="T15" s="391">
        <f>E$15*'VMT to VOC Savings'!$H14</f>
        <v>16918.893281115539</v>
      </c>
      <c r="U15" s="391">
        <f>F$15*'VMT to VOC Savings'!$H14</f>
        <v>76880.308697307657</v>
      </c>
      <c r="V15" s="391">
        <f>G$15*'VMT to VOC Savings'!$H14</f>
        <v>93928.231328457507</v>
      </c>
      <c r="W15" s="277"/>
      <c r="X15" s="375">
        <v>2032</v>
      </c>
      <c r="Y15" s="392">
        <f t="shared" si="8"/>
        <v>-0.2870532948437301</v>
      </c>
      <c r="Z15" s="392">
        <f t="shared" si="5"/>
        <v>-37.639684770656459</v>
      </c>
      <c r="AA15" s="392">
        <f t="shared" si="5"/>
        <v>-171.03663557399705</v>
      </c>
      <c r="AB15" s="393">
        <f t="shared" si="6"/>
        <v>-208.96337363949723</v>
      </c>
    </row>
    <row r="16" spans="1:28">
      <c r="B16" s="436"/>
      <c r="C16" s="436" t="s">
        <v>266</v>
      </c>
      <c r="D16" s="442">
        <f>D15*100000000</f>
        <v>1.0937910894390526</v>
      </c>
      <c r="E16" s="442">
        <f t="shared" ref="E16:G16" si="10">E15*100000000</f>
        <v>143.42267638435655</v>
      </c>
      <c r="F16" s="442">
        <f t="shared" si="10"/>
        <v>651.71991166412568</v>
      </c>
      <c r="G16" s="442">
        <f t="shared" si="10"/>
        <v>796.23637913792118</v>
      </c>
      <c r="L16" s="375">
        <v>2033</v>
      </c>
      <c r="M16" s="389">
        <f>D$15*'VMT to VOC Savings'!$D15</f>
        <v>129.73877375637025</v>
      </c>
      <c r="N16" s="389">
        <f>E$15*'VMT to VOC Savings'!$D15</f>
        <v>17011.916025487037</v>
      </c>
      <c r="O16" s="389">
        <f>F$15*'VMT to VOC Savings'!$D15</f>
        <v>77303.008763105317</v>
      </c>
      <c r="P16" s="389">
        <f>G$15*'VMT to VOC Savings'!$D15</f>
        <v>94444.663562348724</v>
      </c>
      <c r="Q16" s="261"/>
      <c r="R16" s="375">
        <v>2033</v>
      </c>
      <c r="S16" s="391">
        <f>D$15*'VMT to VOC Savings'!$H15</f>
        <v>129.44195088779955</v>
      </c>
      <c r="T16" s="391">
        <f>E$15*'VMT to VOC Savings'!$H15</f>
        <v>16972.995311437036</v>
      </c>
      <c r="U16" s="391">
        <f>F$15*'VMT to VOC Savings'!$H15</f>
        <v>77126.15106554993</v>
      </c>
      <c r="V16" s="391">
        <f>G$15*'VMT to VOC Savings'!$H15</f>
        <v>94228.588327874764</v>
      </c>
      <c r="W16" s="277"/>
      <c r="X16" s="375">
        <v>2033</v>
      </c>
      <c r="Y16" s="392">
        <f t="shared" si="8"/>
        <v>-0.29682286857070039</v>
      </c>
      <c r="Z16" s="392">
        <f t="shared" si="5"/>
        <v>-38.920714050000242</v>
      </c>
      <c r="AA16" s="392">
        <f t="shared" si="5"/>
        <v>-176.85769755538786</v>
      </c>
      <c r="AB16" s="393">
        <f t="shared" si="6"/>
        <v>-216.0752344739588</v>
      </c>
    </row>
    <row r="17" spans="2:28">
      <c r="B17" s="182"/>
      <c r="C17" s="182"/>
      <c r="L17" s="375">
        <v>2034</v>
      </c>
      <c r="M17" s="389">
        <f>D$15*'VMT to VOC Savings'!$D16</f>
        <v>130.1625423527957</v>
      </c>
      <c r="N17" s="389">
        <f>E$15*'VMT to VOC Savings'!$D16</f>
        <v>17067.482419155636</v>
      </c>
      <c r="O17" s="389">
        <f>F$15*'VMT to VOC Savings'!$D16</f>
        <v>77555.505272626222</v>
      </c>
      <c r="P17" s="389">
        <f>G$15*'VMT to VOC Savings'!$D16</f>
        <v>94753.15023413465</v>
      </c>
      <c r="Q17" s="261"/>
      <c r="R17" s="375">
        <v>2034</v>
      </c>
      <c r="S17" s="391">
        <f>D$15*'VMT to VOC Savings'!$H16</f>
        <v>129.85589300087071</v>
      </c>
      <c r="T17" s="391">
        <f>E$15*'VMT to VOC Savings'!$H16</f>
        <v>17027.273213586806</v>
      </c>
      <c r="U17" s="391">
        <f>F$15*'VMT to VOC Savings'!$H16</f>
        <v>77372.792604294926</v>
      </c>
      <c r="V17" s="391">
        <f>G$15*'VMT to VOC Savings'!$H16</f>
        <v>94529.921710882598</v>
      </c>
      <c r="W17" s="277"/>
      <c r="X17" s="375">
        <v>2034</v>
      </c>
      <c r="Y17" s="392">
        <f t="shared" si="8"/>
        <v>-0.30664935192498888</v>
      </c>
      <c r="Z17" s="392">
        <f t="shared" si="5"/>
        <v>-40.20920556882993</v>
      </c>
      <c r="AA17" s="392">
        <f t="shared" si="5"/>
        <v>-182.7126683312963</v>
      </c>
      <c r="AB17" s="393">
        <f t="shared" si="6"/>
        <v>-223.22852325205122</v>
      </c>
    </row>
    <row r="18" spans="2:28" ht="14.4" customHeight="1">
      <c r="B18" s="133" t="s">
        <v>107</v>
      </c>
      <c r="C18" s="487" t="s">
        <v>262</v>
      </c>
      <c r="D18" s="487"/>
      <c r="E18" s="487"/>
      <c r="F18" s="487"/>
      <c r="G18" s="487"/>
      <c r="L18" s="375">
        <v>2035</v>
      </c>
      <c r="M18" s="389">
        <f>D$15*'VMT to VOC Savings'!$D17</f>
        <v>130.58771382775302</v>
      </c>
      <c r="N18" s="389">
        <f>E$15*'VMT to VOC Savings'!$D17</f>
        <v>17123.232764399294</v>
      </c>
      <c r="O18" s="389">
        <f>F$15*'VMT to VOC Savings'!$D17</f>
        <v>77808.837667428772</v>
      </c>
      <c r="P18" s="389">
        <f>G$15*'VMT to VOC Savings'!$D17</f>
        <v>95062.65814565582</v>
      </c>
      <c r="Q18" s="261"/>
      <c r="R18" s="375">
        <v>2035</v>
      </c>
      <c r="S18" s="391">
        <f>D$15*'VMT to VOC Savings'!$H17</f>
        <v>130.2711808289734</v>
      </c>
      <c r="T18" s="391">
        <f>E$15*'VMT to VOC Savings'!$H17</f>
        <v>17081.727571783194</v>
      </c>
      <c r="U18" s="391">
        <f>F$15*'VMT to VOC Savings'!$H17</f>
        <v>77620.2359682604</v>
      </c>
      <c r="V18" s="391">
        <f>G$15*'VMT to VOC Savings'!$H17</f>
        <v>94832.23472087257</v>
      </c>
      <c r="W18" s="277"/>
      <c r="X18" s="375">
        <v>2035</v>
      </c>
      <c r="Y18" s="392">
        <f t="shared" si="8"/>
        <v>-0.31653299877962127</v>
      </c>
      <c r="Z18" s="392">
        <f t="shared" si="5"/>
        <v>-41.505192616099521</v>
      </c>
      <c r="AA18" s="392">
        <f t="shared" si="5"/>
        <v>-188.60169916837185</v>
      </c>
      <c r="AB18" s="393">
        <f t="shared" si="6"/>
        <v>-230.42342478325099</v>
      </c>
    </row>
    <row r="19" spans="2:28">
      <c r="B19" s="182"/>
      <c r="C19" s="487"/>
      <c r="D19" s="487"/>
      <c r="E19" s="487"/>
      <c r="F19" s="487"/>
      <c r="G19" s="487"/>
      <c r="L19" s="375">
        <v>2036</v>
      </c>
      <c r="M19" s="389">
        <f>D$15*'VMT to VOC Savings'!$D18</f>
        <v>131.01429290677629</v>
      </c>
      <c r="N19" s="389">
        <f>E$15*'VMT to VOC Savings'!$D18</f>
        <v>17179.167680850725</v>
      </c>
      <c r="O19" s="389">
        <f>F$15*'VMT to VOC Savings'!$D18</f>
        <v>78063.008763155478</v>
      </c>
      <c r="P19" s="389">
        <f>G$15*'VMT to VOC Savings'!$D18</f>
        <v>95373.190736912977</v>
      </c>
      <c r="Q19" s="261"/>
      <c r="R19" s="375">
        <v>2036</v>
      </c>
      <c r="S19" s="391">
        <f>D$15*'VMT to VOC Savings'!$H18</f>
        <v>130.68781884276859</v>
      </c>
      <c r="T19" s="391">
        <f>E$15*'VMT to VOC Savings'!$H18</f>
        <v>17136.35897223885</v>
      </c>
      <c r="U19" s="391">
        <f>F$15*'VMT to VOC Savings'!$H18</f>
        <v>77868.483821226342</v>
      </c>
      <c r="V19" s="391">
        <f>G$15*'VMT to VOC Savings'!$H18</f>
        <v>95135.530612307964</v>
      </c>
      <c r="W19" s="277"/>
      <c r="X19" s="375">
        <v>2036</v>
      </c>
      <c r="Y19" s="392">
        <f t="shared" si="8"/>
        <v>-0.32647406400769796</v>
      </c>
      <c r="Z19" s="392">
        <f t="shared" si="5"/>
        <v>-42.808708611875772</v>
      </c>
      <c r="AA19" s="392">
        <f t="shared" si="5"/>
        <v>-194.52494192913582</v>
      </c>
      <c r="AB19" s="393">
        <f t="shared" si="6"/>
        <v>-237.66012460501929</v>
      </c>
    </row>
    <row r="20" spans="2:28">
      <c r="B20" s="182"/>
      <c r="C20" s="487" t="s">
        <v>263</v>
      </c>
      <c r="D20" s="487"/>
      <c r="E20" s="487"/>
      <c r="F20" s="487"/>
      <c r="G20" s="487"/>
      <c r="L20" s="375">
        <v>2037</v>
      </c>
      <c r="M20" s="389">
        <f>D$15*'VMT to VOC Savings'!$D19</f>
        <v>131.44228433166617</v>
      </c>
      <c r="N20" s="389">
        <f>E$15*'VMT to VOC Savings'!$D19</f>
        <v>17235.28779027559</v>
      </c>
      <c r="O20" s="389">
        <f>F$15*'VMT to VOC Savings'!$D19</f>
        <v>78318.021385140979</v>
      </c>
      <c r="P20" s="389">
        <f>G$15*'VMT to VOC Savings'!$D19</f>
        <v>95684.751459748222</v>
      </c>
      <c r="Q20" s="261"/>
      <c r="R20" s="375">
        <v>2037</v>
      </c>
      <c r="S20" s="391">
        <f>D$15*'VMT to VOC Savings'!$H19</f>
        <v>131.10581152818023</v>
      </c>
      <c r="T20" s="391">
        <f>E$15*'VMT to VOC Savings'!$H19</f>
        <v>17191.168003167753</v>
      </c>
      <c r="U20" s="391">
        <f>F$15*'VMT to VOC Savings'!$H19</f>
        <v>78117.538836066917</v>
      </c>
      <c r="V20" s="391">
        <f>G$15*'VMT to VOC Savings'!$H19</f>
        <v>95439.812650762848</v>
      </c>
      <c r="W20" s="277"/>
      <c r="X20" s="375">
        <v>2037</v>
      </c>
      <c r="Y20" s="392">
        <f t="shared" si="8"/>
        <v>-0.33647280348594677</v>
      </c>
      <c r="Z20" s="392">
        <f t="shared" si="5"/>
        <v>-44.119787107836601</v>
      </c>
      <c r="AA20" s="392">
        <f t="shared" si="5"/>
        <v>-200.48254907406226</v>
      </c>
      <c r="AB20" s="393">
        <f t="shared" si="6"/>
        <v>-244.93880898538481</v>
      </c>
    </row>
    <row r="21" spans="2:28">
      <c r="B21" s="182"/>
      <c r="C21" s="487"/>
      <c r="D21" s="487"/>
      <c r="E21" s="487"/>
      <c r="F21" s="487"/>
      <c r="G21" s="487"/>
      <c r="L21" s="375">
        <v>2038</v>
      </c>
      <c r="M21" s="389">
        <f>D$15*'VMT to VOC Savings'!$D20</f>
        <v>131.87169286054714</v>
      </c>
      <c r="N21" s="389">
        <f>E$15*'VMT to VOC Savings'!$D20</f>
        <v>17291.593716579999</v>
      </c>
      <c r="O21" s="389">
        <f>F$15*'VMT to VOC Savings'!$D20</f>
        <v>78573.878368446298</v>
      </c>
      <c r="P21" s="389">
        <f>G$15*'VMT to VOC Savings'!$D20</f>
        <v>95997.343777886839</v>
      </c>
      <c r="Q21" s="261"/>
      <c r="R21" s="375">
        <v>2038</v>
      </c>
      <c r="S21" s="391">
        <f>D$15*'VMT to VOC Savings'!$H20</f>
        <v>131.52516338644895</v>
      </c>
      <c r="T21" s="391">
        <f>E$15*'VMT to VOC Savings'!$H20</f>
        <v>17246.15525479228</v>
      </c>
      <c r="U21" s="391">
        <f>F$15*'VMT to VOC Savings'!$H20</f>
        <v>78367.403694782508</v>
      </c>
      <c r="V21" s="391">
        <f>G$15*'VMT to VOC Savings'!$H20</f>
        <v>95745.084112961238</v>
      </c>
      <c r="W21" s="277"/>
      <c r="X21" s="375">
        <v>2038</v>
      </c>
      <c r="Y21" s="392">
        <f t="shared" si="8"/>
        <v>-0.34652947409819035</v>
      </c>
      <c r="Z21" s="392">
        <f t="shared" si="5"/>
        <v>-45.438461787718552</v>
      </c>
      <c r="AA21" s="392">
        <f t="shared" si="5"/>
        <v>-206.47467366378987</v>
      </c>
      <c r="AB21" s="393">
        <f t="shared" si="6"/>
        <v>-252.25966492560661</v>
      </c>
    </row>
    <row r="22" spans="2:28">
      <c r="B22" s="182"/>
      <c r="C22" s="182"/>
      <c r="D22" s="182"/>
      <c r="E22" s="182"/>
      <c r="F22" s="182"/>
      <c r="G22" s="182"/>
      <c r="L22" s="375">
        <v>2039</v>
      </c>
      <c r="M22" s="389">
        <f>D$15*'VMT to VOC Savings'!$D21</f>
        <v>132.30252326792535</v>
      </c>
      <c r="N22" s="389">
        <f>E$15*'VMT to VOC Savings'!$D21</f>
        <v>17348.086085818111</v>
      </c>
      <c r="O22" s="389">
        <f>F$15*'VMT to VOC Savings'!$D21</f>
        <v>78830.582557893256</v>
      </c>
      <c r="P22" s="389">
        <f>G$15*'VMT to VOC Savings'!$D21</f>
        <v>96310.971166979289</v>
      </c>
      <c r="Q22" s="261"/>
      <c r="R22" s="375">
        <v>2039</v>
      </c>
      <c r="S22" s="391">
        <f>D$15*'VMT to VOC Savings'!$H21</f>
        <v>131.94587893418614</v>
      </c>
      <c r="T22" s="391">
        <f>E$15*'VMT to VOC Savings'!$H21</f>
        <v>17301.321319350296</v>
      </c>
      <c r="U22" s="391">
        <f>F$15*'VMT to VOC Savings'!$H21</f>
        <v>78618.08108853201</v>
      </c>
      <c r="V22" s="391">
        <f>G$15*'VMT to VOC Savings'!$H21</f>
        <v>96051.348286816487</v>
      </c>
      <c r="W22" s="277"/>
      <c r="X22" s="375">
        <v>2039</v>
      </c>
      <c r="Y22" s="392">
        <f t="shared" si="8"/>
        <v>-0.35664433373921156</v>
      </c>
      <c r="Z22" s="392">
        <f t="shared" si="5"/>
        <v>-46.764766467815207</v>
      </c>
      <c r="AA22" s="392">
        <f t="shared" si="5"/>
        <v>-212.50146936124656</v>
      </c>
      <c r="AB22" s="393">
        <f t="shared" si="6"/>
        <v>-259.62288016280098</v>
      </c>
    </row>
    <row r="23" spans="2:28">
      <c r="B23" s="182"/>
      <c r="C23" s="182"/>
      <c r="E23" s="12"/>
      <c r="F23" s="12"/>
      <c r="G23" s="12"/>
      <c r="L23" s="375">
        <v>2040</v>
      </c>
      <c r="M23" s="389">
        <f>D$15*'VMT to VOC Savings'!$D22</f>
        <v>132.7347803447465</v>
      </c>
      <c r="N23" s="389">
        <f>E$15*'VMT to VOC Savings'!$D22</f>
        <v>17404.765526199695</v>
      </c>
      <c r="O23" s="389">
        <f>F$15*'VMT to VOC Savings'!$D22</f>
        <v>79088.136808098876</v>
      </c>
      <c r="P23" s="389">
        <f>G$15*'VMT to VOC Savings'!$D22</f>
        <v>96625.637114643323</v>
      </c>
      <c r="Q23" s="261"/>
      <c r="R23" s="375">
        <v>2040</v>
      </c>
      <c r="S23" s="391">
        <f>D$15*'VMT to VOC Savings'!$H22</f>
        <v>132.36796270342813</v>
      </c>
      <c r="T23" s="391">
        <f>E$15*'VMT to VOC Savings'!$H22</f>
        <v>17356.666791102245</v>
      </c>
      <c r="U23" s="391">
        <f>F$15*'VMT to VOC Savings'!$H22</f>
        <v>78869.573717664985</v>
      </c>
      <c r="V23" s="391">
        <f>G$15*'VMT to VOC Savings'!$H22</f>
        <v>96358.608471470667</v>
      </c>
      <c r="W23" s="277"/>
      <c r="X23" s="375">
        <v>2040</v>
      </c>
      <c r="Y23" s="392">
        <f t="shared" si="8"/>
        <v>-0.36681764131836303</v>
      </c>
      <c r="Z23" s="392">
        <f t="shared" si="5"/>
        <v>-48.098735097450117</v>
      </c>
      <c r="AA23" s="392">
        <f t="shared" si="5"/>
        <v>-218.56309043389047</v>
      </c>
      <c r="AB23" s="393">
        <f t="shared" si="6"/>
        <v>-267.02864317265892</v>
      </c>
    </row>
    <row r="24" spans="2:28">
      <c r="B24" s="182"/>
      <c r="C24" s="182"/>
      <c r="D24" s="31"/>
      <c r="E24" s="31"/>
      <c r="F24" s="31"/>
      <c r="G24" s="31"/>
      <c r="L24" s="375">
        <v>2041</v>
      </c>
      <c r="M24" s="389">
        <f>D$15*'VMT to VOC Savings'!$D23</f>
        <v>133.16846889845382</v>
      </c>
      <c r="N24" s="389">
        <f>E$15*'VMT to VOC Savings'!$D23</f>
        <v>17461.632668097755</v>
      </c>
      <c r="O24" s="389">
        <f>F$15*'VMT to VOC Savings'!$D23</f>
        <v>79346.54398351007</v>
      </c>
      <c r="P24" s="389">
        <f>G$15*'VMT to VOC Savings'!$D23</f>
        <v>96941.345120506288</v>
      </c>
      <c r="Q24" s="261"/>
      <c r="R24" s="375">
        <v>2041</v>
      </c>
      <c r="S24" s="391">
        <f>D$15*'VMT to VOC Savings'!$H23</f>
        <v>132.7914192416907</v>
      </c>
      <c r="T24" s="391">
        <f>E$15*'VMT to VOC Savings'!$H23</f>
        <v>17412.192266338308</v>
      </c>
      <c r="U24" s="391">
        <f>F$15*'VMT to VOC Savings'!$H23</f>
        <v>79121.88429175425</v>
      </c>
      <c r="V24" s="391">
        <f>G$15*'VMT to VOC Savings'!$H23</f>
        <v>96666.867977334245</v>
      </c>
      <c r="W24" s="277"/>
      <c r="X24" s="375">
        <v>2041</v>
      </c>
      <c r="Y24" s="392">
        <f t="shared" si="8"/>
        <v>-0.37704965676311986</v>
      </c>
      <c r="Z24" s="392">
        <f t="shared" si="5"/>
        <v>-49.440401759446104</v>
      </c>
      <c r="AA24" s="392">
        <f t="shared" si="5"/>
        <v>-224.65969175581995</v>
      </c>
      <c r="AB24" s="393">
        <f t="shared" si="6"/>
        <v>-274.47714317202917</v>
      </c>
    </row>
    <row r="25" spans="2:28">
      <c r="B25" s="32"/>
      <c r="L25" s="375">
        <v>2042</v>
      </c>
      <c r="M25" s="389">
        <f>D$15*'VMT to VOC Savings'!$D24</f>
        <v>133.60359375304651</v>
      </c>
      <c r="N25" s="389">
        <f>E$15*'VMT to VOC Savings'!$D24</f>
        <v>17518.688144056188</v>
      </c>
      <c r="O25" s="389">
        <f>F$15*'VMT to VOC Savings'!$D24</f>
        <v>79605.806958438348</v>
      </c>
      <c r="P25" s="389">
        <f>G$15*'VMT to VOC Savings'!$D24</f>
        <v>97258.098696247587</v>
      </c>
      <c r="Q25" s="261"/>
      <c r="R25" s="375">
        <v>2042</v>
      </c>
      <c r="S25" s="391">
        <f>D$15*'VMT to VOC Savings'!$H24</f>
        <v>133.21625311202368</v>
      </c>
      <c r="T25" s="391">
        <f>E$15*'VMT to VOC Savings'!$H24</f>
        <v>17467.898343385554</v>
      </c>
      <c r="U25" s="391">
        <f>F$15*'VMT to VOC Savings'!$H24</f>
        <v>79375.015529628319</v>
      </c>
      <c r="V25" s="391">
        <f>G$15*'VMT to VOC Savings'!$H24</f>
        <v>96976.130126125892</v>
      </c>
      <c r="W25" s="277"/>
      <c r="X25" s="375">
        <v>2042</v>
      </c>
      <c r="Y25" s="392">
        <f t="shared" si="8"/>
        <v>-0.38734064102283128</v>
      </c>
      <c r="Z25" s="392">
        <f t="shared" si="5"/>
        <v>-50.789800670634577</v>
      </c>
      <c r="AA25" s="392">
        <f t="shared" si="5"/>
        <v>-230.79142881002917</v>
      </c>
      <c r="AB25" s="393">
        <f t="shared" si="6"/>
        <v>-281.96857012168658</v>
      </c>
    </row>
    <row r="26" spans="2:28" ht="15.6">
      <c r="B26" s="201"/>
      <c r="K26" s="202"/>
      <c r="L26" s="375">
        <v>2043</v>
      </c>
      <c r="M26" s="389">
        <f>D$15*'VMT to VOC Savings'!$D25</f>
        <v>134.04015974913816</v>
      </c>
      <c r="N26" s="389">
        <f>E$15*'VMT to VOC Savings'!$D25</f>
        <v>17575.932588797437</v>
      </c>
      <c r="O26" s="389">
        <f>F$15*'VMT to VOC Savings'!$D25</f>
        <v>79865.928617094702</v>
      </c>
      <c r="P26" s="389">
        <f>G$15*'VMT to VOC Savings'!$D25</f>
        <v>97575.901365641272</v>
      </c>
      <c r="Q26" s="261"/>
      <c r="R26" s="375">
        <v>2043</v>
      </c>
      <c r="S26" s="391">
        <f>D$15*'VMT to VOC Savings'!$H25</f>
        <v>133.64246889306565</v>
      </c>
      <c r="T26" s="391">
        <f>E$15*'VMT to VOC Savings'!$H25</f>
        <v>17523.785622615116</v>
      </c>
      <c r="U26" s="391">
        <f>F$15*'VMT to VOC Savings'!$H25</f>
        <v>79628.970159404082</v>
      </c>
      <c r="V26" s="391">
        <f>G$15*'VMT to VOC Savings'!$H25</f>
        <v>97286.398250912258</v>
      </c>
      <c r="W26" s="277"/>
      <c r="X26" s="375">
        <v>2043</v>
      </c>
      <c r="Y26" s="392">
        <f t="shared" si="8"/>
        <v>-0.39769085607250076</v>
      </c>
      <c r="Z26" s="392">
        <f t="shared" si="5"/>
        <v>-52.146966182321194</v>
      </c>
      <c r="AA26" s="392">
        <f t="shared" si="5"/>
        <v>-236.95845769061998</v>
      </c>
      <c r="AB26" s="393">
        <f t="shared" si="6"/>
        <v>-289.50311472901365</v>
      </c>
    </row>
    <row r="27" spans="2:28" ht="15.6">
      <c r="B27" s="182"/>
      <c r="K27" s="202"/>
      <c r="L27" s="375">
        <v>2044</v>
      </c>
      <c r="M27" s="389">
        <f>D$15*'VMT to VOC Savings'!$D26</f>
        <v>134.47817174401544</v>
      </c>
      <c r="N27" s="389">
        <f>E$15*'VMT to VOC Savings'!$D26</f>
        <v>17633.366639230204</v>
      </c>
      <c r="O27" s="389">
        <f>F$15*'VMT to VOC Savings'!$D26</f>
        <v>80126.911853624493</v>
      </c>
      <c r="P27" s="389">
        <f>G$15*'VMT to VOC Savings'!$D26</f>
        <v>97894.75666459871</v>
      </c>
      <c r="Q27" s="261"/>
      <c r="R27" s="375">
        <v>2044</v>
      </c>
      <c r="S27" s="391">
        <f>D$15*'VMT to VOC Savings'!$H26</f>
        <v>134.07007117909913</v>
      </c>
      <c r="T27" s="391">
        <f>E$15*'VMT to VOC Savings'!$H26</f>
        <v>17579.854706449434</v>
      </c>
      <c r="U27" s="391">
        <f>F$15*'VMT to VOC Savings'!$H26</f>
        <v>79883.75091851964</v>
      </c>
      <c r="V27" s="391">
        <f>G$15*'VMT to VOC Savings'!$H26</f>
        <v>97597.675696148173</v>
      </c>
      <c r="W27" s="277"/>
      <c r="X27" s="375">
        <v>2044</v>
      </c>
      <c r="Y27" s="392">
        <f t="shared" si="8"/>
        <v>-0.4081005649163103</v>
      </c>
      <c r="Z27" s="392">
        <f t="shared" si="5"/>
        <v>-53.511932780769712</v>
      </c>
      <c r="AA27" s="392">
        <f t="shared" si="5"/>
        <v>-243.16093510485371</v>
      </c>
      <c r="AB27" s="393">
        <f t="shared" si="6"/>
        <v>-297.08096845053973</v>
      </c>
    </row>
    <row r="28" spans="2:28" ht="15.6">
      <c r="B28" s="182"/>
      <c r="K28" s="202"/>
      <c r="L28" s="375">
        <v>2045</v>
      </c>
      <c r="M28" s="389">
        <f>D$15*'VMT to VOC Savings'!$D27</f>
        <v>134.91763461169722</v>
      </c>
      <c r="N28" s="389">
        <f>E$15*'VMT to VOC Savings'!$D27</f>
        <v>17690.990934457175</v>
      </c>
      <c r="O28" s="389">
        <f>F$15*'VMT to VOC Savings'!$D27</f>
        <v>80388.759572142764</v>
      </c>
      <c r="P28" s="389">
        <f>G$15*'VMT to VOC Savings'!$D27</f>
        <v>98214.66814121163</v>
      </c>
      <c r="Q28" s="261"/>
      <c r="R28" s="375">
        <v>2045</v>
      </c>
      <c r="S28" s="391">
        <f>D$15*'VMT to VOC Savings'!$H27</f>
        <v>134.49906458010562</v>
      </c>
      <c r="T28" s="391">
        <f>E$15*'VMT to VOC Savings'!$H27</f>
        <v>17636.106199369471</v>
      </c>
      <c r="U28" s="391">
        <f>F$15*'VMT to VOC Savings'!$H27</f>
        <v>80139.36055376711</v>
      </c>
      <c r="V28" s="391">
        <f>G$15*'VMT to VOC Savings'!$H27</f>
        <v>97909.965817716686</v>
      </c>
      <c r="W28" s="277"/>
      <c r="X28" s="375">
        <v>2045</v>
      </c>
      <c r="Y28" s="392">
        <f t="shared" si="8"/>
        <v>-0.41857003159159945</v>
      </c>
      <c r="Z28" s="392">
        <f t="shared" ref="Z28:Z37" si="11">T28-N28</f>
        <v>-54.88473508770403</v>
      </c>
      <c r="AA28" s="392">
        <f t="shared" ref="AA28:AA37" si="12">U28-O28</f>
        <v>-249.39901837565412</v>
      </c>
      <c r="AB28" s="393">
        <f t="shared" si="6"/>
        <v>-304.70232349494972</v>
      </c>
    </row>
    <row r="29" spans="2:28">
      <c r="B29" s="182"/>
      <c r="L29" s="375">
        <v>2046</v>
      </c>
      <c r="M29" s="389">
        <f>D$15*'VMT to VOC Savings'!$D28</f>
        <v>135.35855324299354</v>
      </c>
      <c r="N29" s="389">
        <f>E$15*'VMT to VOC Savings'!$D28</f>
        <v>17748.806115782776</v>
      </c>
      <c r="O29" s="389">
        <f>F$15*'VMT to VOC Savings'!$D28</f>
        <v>80651.474686769332</v>
      </c>
      <c r="P29" s="389">
        <f>G$15*'VMT to VOC Savings'!$D28</f>
        <v>98535.639355795109</v>
      </c>
      <c r="Q29" s="261"/>
      <c r="R29" s="375">
        <v>2046</v>
      </c>
      <c r="S29" s="391">
        <f>D$15*'VMT to VOC Savings'!$H28</f>
        <v>134.92945372182135</v>
      </c>
      <c r="T29" s="391">
        <f>E$15*'VMT to VOC Savings'!$H28</f>
        <v>17692.540707922006</v>
      </c>
      <c r="U29" s="391">
        <f>F$15*'VMT to VOC Savings'!$H28</f>
        <v>80395.801821325818</v>
      </c>
      <c r="V29" s="391">
        <f>G$15*'VMT to VOC Savings'!$H28</f>
        <v>98223.271982969643</v>
      </c>
      <c r="W29" s="277"/>
      <c r="X29" s="375">
        <v>2046</v>
      </c>
      <c r="Y29" s="392">
        <f t="shared" si="8"/>
        <v>-0.42909952117219063</v>
      </c>
      <c r="Z29" s="392">
        <f t="shared" si="11"/>
        <v>-56.26540786077021</v>
      </c>
      <c r="AA29" s="392">
        <f t="shared" si="12"/>
        <v>-255.67286544351373</v>
      </c>
      <c r="AB29" s="393">
        <f t="shared" si="6"/>
        <v>-312.36737282545613</v>
      </c>
    </row>
    <row r="30" spans="2:28" ht="15.6">
      <c r="B30" s="201"/>
      <c r="L30" s="375">
        <v>2047</v>
      </c>
      <c r="M30" s="389">
        <f>D$15*'VMT to VOC Savings'!$D29</f>
        <v>135.8009325455651</v>
      </c>
      <c r="N30" s="389">
        <f>E$15*'VMT to VOC Savings'!$D29</f>
        <v>17806.812826720965</v>
      </c>
      <c r="O30" s="389">
        <f>F$15*'VMT to VOC Savings'!$D29</f>
        <v>80915.060121664254</v>
      </c>
      <c r="P30" s="389">
        <f>G$15*'VMT to VOC Savings'!$D29</f>
        <v>98857.673880930772</v>
      </c>
      <c r="Q30" s="261"/>
      <c r="R30" s="375">
        <v>2047</v>
      </c>
      <c r="S30" s="391">
        <f>D$15*'VMT to VOC Savings'!$H29</f>
        <v>135.36124324579251</v>
      </c>
      <c r="T30" s="391">
        <f>E$15*'VMT to VOC Savings'!$H29</f>
        <v>17749.158840726901</v>
      </c>
      <c r="U30" s="391">
        <f>F$15*'VMT to VOC Savings'!$H29</f>
        <v>80653.077486795257</v>
      </c>
      <c r="V30" s="391">
        <f>G$15*'VMT to VOC Savings'!$H29</f>
        <v>98537.597570767961</v>
      </c>
      <c r="W30" s="277"/>
      <c r="X30" s="375">
        <v>2047</v>
      </c>
      <c r="Y30" s="392">
        <f t="shared" si="8"/>
        <v>-0.43968929977259563</v>
      </c>
      <c r="Z30" s="392">
        <f t="shared" si="11"/>
        <v>-57.653985994063987</v>
      </c>
      <c r="AA30" s="392">
        <f t="shared" si="12"/>
        <v>-261.98263486899668</v>
      </c>
      <c r="AB30" s="393">
        <f t="shared" si="6"/>
        <v>-320.07631016283324</v>
      </c>
    </row>
    <row r="31" spans="2:28">
      <c r="B31" s="182"/>
      <c r="C31" s="182"/>
      <c r="L31" s="375">
        <v>2048</v>
      </c>
      <c r="M31" s="389">
        <f>D$15*'VMT to VOC Savings'!$D30</f>
        <v>136.2447774439828</v>
      </c>
      <c r="N31" s="389">
        <f>E$15*'VMT to VOC Savings'!$D30</f>
        <v>17865.011713003038</v>
      </c>
      <c r="O31" s="389">
        <f>F$15*'VMT to VOC Savings'!$D30</f>
        <v>81179.518811063244</v>
      </c>
      <c r="P31" s="389">
        <f>G$15*'VMT to VOC Savings'!$D30</f>
        <v>99180.775301510264</v>
      </c>
      <c r="Q31" s="261"/>
      <c r="R31" s="375">
        <v>2048</v>
      </c>
      <c r="S31" s="391">
        <f>D$15*'VMT to VOC Savings'!$H30</f>
        <v>135.7944378094314</v>
      </c>
      <c r="T31" s="391">
        <f>E$15*'VMT to VOC Savings'!$H30</f>
        <v>17805.961208484445</v>
      </c>
      <c r="U31" s="391">
        <f>F$15*'VMT to VOC Savings'!$H30</f>
        <v>80911.190325228512</v>
      </c>
      <c r="V31" s="391">
        <f>G$15*'VMT to VOC Savings'!$H30</f>
        <v>98852.945971522393</v>
      </c>
      <c r="W31" s="277"/>
      <c r="X31" s="375">
        <v>2048</v>
      </c>
      <c r="Y31" s="392">
        <f t="shared" si="8"/>
        <v>-0.45033963455139769</v>
      </c>
      <c r="Z31" s="392">
        <f t="shared" si="11"/>
        <v>-59.050504518592788</v>
      </c>
      <c r="AA31" s="392">
        <f t="shared" si="12"/>
        <v>-268.32848583473242</v>
      </c>
      <c r="AB31" s="393">
        <f t="shared" si="6"/>
        <v>-327.82932998787658</v>
      </c>
    </row>
    <row r="32" spans="2:28">
      <c r="L32" s="375">
        <v>2049</v>
      </c>
      <c r="M32" s="389">
        <f>D$15*'VMT to VOC Savings'!$D31</f>
        <v>136.69009287978753</v>
      </c>
      <c r="N32" s="389">
        <f>E$15*'VMT to VOC Savings'!$D31</f>
        <v>17923.403422585474</v>
      </c>
      <c r="O32" s="389">
        <f>F$15*'VMT to VOC Savings'!$D31</f>
        <v>81444.853699313404</v>
      </c>
      <c r="P32" s="389">
        <f>G$15*'VMT to VOC Savings'!$D31</f>
        <v>99504.947214778658</v>
      </c>
      <c r="Q32" s="261"/>
      <c r="R32" s="375">
        <v>2049</v>
      </c>
      <c r="S32" s="391">
        <f>D$15*'VMT to VOC Savings'!$H31</f>
        <v>136.22904208607224</v>
      </c>
      <c r="T32" s="391">
        <f>E$15*'VMT to VOC Savings'!$H31</f>
        <v>17862.948423982685</v>
      </c>
      <c r="U32" s="391">
        <f>F$15*'VMT to VOC Savings'!$H31</f>
        <v>81170.143121165514</v>
      </c>
      <c r="V32" s="391">
        <f>G$15*'VMT to VOC Savings'!$H31</f>
        <v>99169.320587234266</v>
      </c>
      <c r="W32" s="277"/>
      <c r="X32" s="375">
        <v>2049</v>
      </c>
      <c r="Y32" s="392">
        <f t="shared" si="8"/>
        <v>-0.46105079371528745</v>
      </c>
      <c r="Z32" s="392">
        <f t="shared" si="11"/>
        <v>-60.454998602788692</v>
      </c>
      <c r="AA32" s="392">
        <f t="shared" si="12"/>
        <v>-274.71057814788946</v>
      </c>
      <c r="AB32" s="393">
        <f t="shared" si="6"/>
        <v>-335.62662754439344</v>
      </c>
    </row>
    <row r="33" spans="2:28">
      <c r="L33" s="375">
        <v>2050</v>
      </c>
      <c r="M33" s="389">
        <f>D$15*'VMT to VOC Savings'!$D32</f>
        <v>137.13688381155029</v>
      </c>
      <c r="N33" s="389">
        <f>E$15*'VMT to VOC Savings'!$D32</f>
        <v>17981.988605657807</v>
      </c>
      <c r="O33" s="389">
        <f>F$15*'VMT to VOC Savings'!$D32</f>
        <v>81711.06774090894</v>
      </c>
      <c r="P33" s="389">
        <f>G$15*'VMT to VOC Savings'!$D32</f>
        <v>99830.193230378296</v>
      </c>
      <c r="Q33" s="261"/>
      <c r="R33" s="375">
        <v>2050</v>
      </c>
      <c r="S33" s="391">
        <f>D$15*'VMT to VOC Savings'!$H32</f>
        <v>136.66506076502762</v>
      </c>
      <c r="T33" s="391">
        <f>E$15*'VMT to VOC Savings'!$H32</f>
        <v>17920.121102104815</v>
      </c>
      <c r="U33" s="391">
        <f>F$15*'VMT to VOC Savings'!$H32</f>
        <v>81429.938668666669</v>
      </c>
      <c r="V33" s="391">
        <f>G$15*'VMT to VOC Savings'!$H32</f>
        <v>99486.724831536514</v>
      </c>
      <c r="W33" s="277"/>
      <c r="X33" s="375">
        <v>2050</v>
      </c>
      <c r="Y33" s="392">
        <f t="shared" si="8"/>
        <v>-0.47182304652267248</v>
      </c>
      <c r="Z33" s="392">
        <f t="shared" si="11"/>
        <v>-61.867503552992275</v>
      </c>
      <c r="AA33" s="392">
        <f t="shared" si="12"/>
        <v>-281.12907224227092</v>
      </c>
      <c r="AB33" s="393">
        <f t="shared" si="6"/>
        <v>-343.46839884178587</v>
      </c>
    </row>
    <row r="34" spans="2:28">
      <c r="L34" s="375">
        <v>2051</v>
      </c>
      <c r="M34" s="389">
        <f>D$15*'VMT to VOC Savings'!$D33</f>
        <v>137.13688381155029</v>
      </c>
      <c r="N34" s="389">
        <f>E$15*'VMT to VOC Savings'!$D33</f>
        <v>17981.988605657807</v>
      </c>
      <c r="O34" s="389">
        <f>F$15*'VMT to VOC Savings'!$D33</f>
        <v>81711.06774090894</v>
      </c>
      <c r="P34" s="389">
        <f>G$15*'VMT to VOC Savings'!$D33</f>
        <v>99830.193230378296</v>
      </c>
      <c r="Q34" s="261"/>
      <c r="R34" s="375">
        <v>2051</v>
      </c>
      <c r="S34" s="391">
        <f>D$15*'VMT to VOC Savings'!$H33</f>
        <v>136.66506076502762</v>
      </c>
      <c r="T34" s="391">
        <f>E$15*'VMT to VOC Savings'!$H33</f>
        <v>17920.121102104815</v>
      </c>
      <c r="U34" s="391">
        <f>F$15*'VMT to VOC Savings'!$H33</f>
        <v>81429.938668666669</v>
      </c>
      <c r="V34" s="391">
        <f>G$15*'VMT to VOC Savings'!$H33</f>
        <v>99486.724831536514</v>
      </c>
      <c r="W34" s="277"/>
      <c r="X34" s="375">
        <v>2051</v>
      </c>
      <c r="Y34" s="392">
        <f t="shared" si="8"/>
        <v>-0.47182304652267248</v>
      </c>
      <c r="Z34" s="392">
        <f t="shared" si="11"/>
        <v>-61.867503552992275</v>
      </c>
      <c r="AA34" s="392">
        <f t="shared" si="12"/>
        <v>-281.12907224227092</v>
      </c>
      <c r="AB34" s="393">
        <f t="shared" si="6"/>
        <v>-343.46839884178587</v>
      </c>
    </row>
    <row r="35" spans="2:28">
      <c r="L35" s="375">
        <v>2052</v>
      </c>
      <c r="M35" s="389">
        <f>D$15*'VMT to VOC Savings'!$D34</f>
        <v>137.13688381155029</v>
      </c>
      <c r="N35" s="389">
        <f>E$15*'VMT to VOC Savings'!$D34</f>
        <v>17981.988605657807</v>
      </c>
      <c r="O35" s="389">
        <f>F$15*'VMT to VOC Savings'!$D34</f>
        <v>81711.06774090894</v>
      </c>
      <c r="P35" s="389">
        <f>G$15*'VMT to VOC Savings'!$D34</f>
        <v>99830.193230378296</v>
      </c>
      <c r="Q35" s="261"/>
      <c r="R35" s="375">
        <v>2052</v>
      </c>
      <c r="S35" s="391">
        <f>D$15*'VMT to VOC Savings'!$H34</f>
        <v>136.66506076502762</v>
      </c>
      <c r="T35" s="391">
        <f>E$15*'VMT to VOC Savings'!$H34</f>
        <v>17920.121102104815</v>
      </c>
      <c r="U35" s="391">
        <f>F$15*'VMT to VOC Savings'!$H34</f>
        <v>81429.938668666669</v>
      </c>
      <c r="V35" s="391">
        <f>G$15*'VMT to VOC Savings'!$H34</f>
        <v>99486.724831536514</v>
      </c>
      <c r="W35" s="277"/>
      <c r="X35" s="375">
        <v>2052</v>
      </c>
      <c r="Y35" s="392">
        <f t="shared" si="8"/>
        <v>-0.47182304652267248</v>
      </c>
      <c r="Z35" s="392">
        <f t="shared" si="11"/>
        <v>-61.867503552992275</v>
      </c>
      <c r="AA35" s="392">
        <f t="shared" si="12"/>
        <v>-281.12907224227092</v>
      </c>
      <c r="AB35" s="393">
        <f t="shared" si="6"/>
        <v>-343.46839884178587</v>
      </c>
    </row>
    <row r="36" spans="2:28">
      <c r="B36" s="32"/>
      <c r="L36" s="375">
        <v>2053</v>
      </c>
      <c r="M36" s="389">
        <f>D$15*'VMT to VOC Savings'!$D35</f>
        <v>137.13688381155029</v>
      </c>
      <c r="N36" s="389">
        <f>E$15*'VMT to VOC Savings'!$D35</f>
        <v>17981.988605657807</v>
      </c>
      <c r="O36" s="389">
        <f>F$15*'VMT to VOC Savings'!$D35</f>
        <v>81711.06774090894</v>
      </c>
      <c r="P36" s="389">
        <f>G$15*'VMT to VOC Savings'!$D35</f>
        <v>99830.193230378296</v>
      </c>
      <c r="Q36" s="261"/>
      <c r="R36" s="375">
        <v>2053</v>
      </c>
      <c r="S36" s="391">
        <f>D$15*'VMT to VOC Savings'!$H35</f>
        <v>136.66506076502762</v>
      </c>
      <c r="T36" s="391">
        <f>E$15*'VMT to VOC Savings'!$H35</f>
        <v>17920.121102104815</v>
      </c>
      <c r="U36" s="391">
        <f>F$15*'VMT to VOC Savings'!$H35</f>
        <v>81429.938668666669</v>
      </c>
      <c r="V36" s="391">
        <f>G$15*'VMT to VOC Savings'!$H35</f>
        <v>99486.724831536514</v>
      </c>
      <c r="W36" s="277"/>
      <c r="X36" s="375">
        <v>2053</v>
      </c>
      <c r="Y36" s="392">
        <f t="shared" si="8"/>
        <v>-0.47182304652267248</v>
      </c>
      <c r="Z36" s="392">
        <f t="shared" si="11"/>
        <v>-61.867503552992275</v>
      </c>
      <c r="AA36" s="392">
        <f t="shared" si="12"/>
        <v>-281.12907224227092</v>
      </c>
      <c r="AB36" s="393">
        <f t="shared" si="6"/>
        <v>-343.46839884178587</v>
      </c>
    </row>
    <row r="37" spans="2:28">
      <c r="L37" s="375">
        <v>2054</v>
      </c>
      <c r="M37" s="389">
        <f>D$15*'VMT to VOC Savings'!$D36</f>
        <v>137.13688381155029</v>
      </c>
      <c r="N37" s="389">
        <f>E$15*'VMT to VOC Savings'!$D36</f>
        <v>17981.988605657807</v>
      </c>
      <c r="O37" s="389">
        <f>F$15*'VMT to VOC Savings'!$D36</f>
        <v>81711.06774090894</v>
      </c>
      <c r="P37" s="389">
        <f>G$15*'VMT to VOC Savings'!$D36</f>
        <v>99830.193230378296</v>
      </c>
      <c r="Q37" s="261"/>
      <c r="R37" s="375">
        <v>2054</v>
      </c>
      <c r="S37" s="391">
        <f>D$15*'VMT to VOC Savings'!$H36</f>
        <v>136.66506076502762</v>
      </c>
      <c r="T37" s="391">
        <f>E$15*'VMT to VOC Savings'!$H36</f>
        <v>17920.121102104815</v>
      </c>
      <c r="U37" s="391">
        <f>F$15*'VMT to VOC Savings'!$H36</f>
        <v>81429.938668666669</v>
      </c>
      <c r="V37" s="391">
        <f>G$15*'VMT to VOC Savings'!$H36</f>
        <v>99486.724831536514</v>
      </c>
      <c r="W37" s="277"/>
      <c r="X37" s="375">
        <v>2054</v>
      </c>
      <c r="Y37" s="392">
        <f t="shared" si="8"/>
        <v>-0.47182304652267248</v>
      </c>
      <c r="Z37" s="392">
        <f t="shared" si="11"/>
        <v>-61.867503552992275</v>
      </c>
      <c r="AA37" s="392">
        <f t="shared" si="12"/>
        <v>-281.12907224227092</v>
      </c>
      <c r="AB37" s="393">
        <f t="shared" si="6"/>
        <v>-343.46839884178587</v>
      </c>
    </row>
    <row r="38" spans="2:28" ht="28.8">
      <c r="B38" s="32"/>
      <c r="P38" s="261"/>
      <c r="X38" s="394" t="s">
        <v>267</v>
      </c>
      <c r="Y38" s="395">
        <f>SUM(Y12:Y37)</f>
        <v>-9.8711508142042277</v>
      </c>
      <c r="Z38" s="395">
        <f>SUM(Z12:Z37)</f>
        <v>-1294.3485117371674</v>
      </c>
      <c r="AA38" s="395">
        <f>SUM(AA12:AA37)</f>
        <v>-5881.5852485650394</v>
      </c>
      <c r="AB38" s="395">
        <f t="shared" si="6"/>
        <v>-7185.8049111164109</v>
      </c>
    </row>
    <row r="39" spans="2:28" ht="15.6">
      <c r="B39" s="201"/>
      <c r="C39" s="202"/>
    </row>
    <row r="40" spans="2:28" ht="15.6">
      <c r="B40" s="201"/>
      <c r="C40" s="202"/>
      <c r="L40" s="161" t="s">
        <v>175</v>
      </c>
      <c r="N40" s="269">
        <v>1.2740269259524872E-2</v>
      </c>
      <c r="O40" s="269">
        <v>1.3278111011010729E-2</v>
      </c>
      <c r="P40" s="269">
        <v>1.3146439426323209E-2</v>
      </c>
      <c r="U40" s="269">
        <v>1.3278111011010729E-2</v>
      </c>
      <c r="V40" s="269">
        <v>1.3146439426323209E-2</v>
      </c>
      <c r="W40" s="279"/>
    </row>
    <row r="42" spans="2:28" ht="18.600000000000001">
      <c r="B42" s="133"/>
      <c r="C42" s="134"/>
    </row>
    <row r="45" spans="2:28">
      <c r="B45" s="182"/>
    </row>
    <row r="46" spans="2:28">
      <c r="B46" s="182"/>
    </row>
    <row r="47" spans="2:28" ht="15.6">
      <c r="B47" s="134"/>
    </row>
    <row r="52" spans="8:15" ht="15.6">
      <c r="L52" s="165"/>
      <c r="M52" s="165"/>
      <c r="N52" s="165"/>
      <c r="O52" s="165"/>
    </row>
    <row r="53" spans="8:15" ht="15.6">
      <c r="L53" s="165"/>
      <c r="M53" s="165"/>
      <c r="N53" s="165"/>
      <c r="O53" s="165"/>
    </row>
    <row r="54" spans="8:15" ht="15.6">
      <c r="L54" s="165"/>
      <c r="M54" s="165"/>
      <c r="N54" s="165"/>
      <c r="O54" s="165"/>
    </row>
    <row r="55" spans="8:15" ht="15.6">
      <c r="L55" s="165"/>
      <c r="M55" s="165"/>
      <c r="N55" s="165"/>
      <c r="O55" s="165"/>
    </row>
    <row r="56" spans="8:15" ht="15.6">
      <c r="L56" s="165"/>
      <c r="M56" s="165"/>
      <c r="N56" s="165"/>
      <c r="O56" s="165"/>
    </row>
    <row r="64" spans="8:15" ht="15.6">
      <c r="H64" s="134"/>
      <c r="I64" s="134"/>
    </row>
    <row r="65" spans="8:9" ht="15.6">
      <c r="H65" s="134"/>
      <c r="I65" s="134"/>
    </row>
  </sheetData>
  <mergeCells count="6">
    <mergeCell ref="C20:G21"/>
    <mergeCell ref="L6:P6"/>
    <mergeCell ref="R6:V6"/>
    <mergeCell ref="L4:AB4"/>
    <mergeCell ref="X6:AB6"/>
    <mergeCell ref="C18:G1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Z164"/>
  <sheetViews>
    <sheetView topLeftCell="A43" workbookViewId="0">
      <selection activeCell="B46" sqref="B46"/>
    </sheetView>
  </sheetViews>
  <sheetFormatPr defaultRowHeight="14.4"/>
  <cols>
    <col min="2" max="2" width="15.33203125" style="161" bestFit="1" customWidth="1"/>
    <col min="3" max="3" width="14.88671875" style="161" customWidth="1"/>
    <col min="4" max="4" width="15.33203125" style="161" bestFit="1" customWidth="1"/>
    <col min="5" max="5" width="13.6640625" style="161" bestFit="1" customWidth="1"/>
    <col min="6" max="6" width="10.5546875" style="161" bestFit="1" customWidth="1"/>
    <col min="7" max="7" width="11.44140625" style="161" bestFit="1" customWidth="1"/>
    <col min="8" max="11" width="18.44140625" style="161" customWidth="1"/>
    <col min="12" max="12" width="9.109375" style="161"/>
    <col min="13" max="13" width="14.33203125" style="161" customWidth="1"/>
    <col min="14" max="14" width="12.6640625" style="161" bestFit="1" customWidth="1"/>
    <col min="15" max="15" width="11.5546875" style="161" bestFit="1" customWidth="1"/>
    <col min="16" max="16" width="12.5546875" style="161" bestFit="1" customWidth="1"/>
    <col min="17" max="17" width="11.5546875" style="161" bestFit="1" customWidth="1"/>
    <col min="20" max="20" width="14.33203125" bestFit="1" customWidth="1"/>
    <col min="21" max="21" width="15.33203125" bestFit="1" customWidth="1"/>
    <col min="22" max="22" width="14.33203125" bestFit="1" customWidth="1"/>
    <col min="23" max="23" width="11.5546875" bestFit="1" customWidth="1"/>
    <col min="26" max="26" width="14.33203125" bestFit="1" customWidth="1"/>
    <col min="27" max="27" width="15.33203125" bestFit="1" customWidth="1"/>
    <col min="28" max="28" width="12.5546875" bestFit="1" customWidth="1"/>
    <col min="29" max="29" width="11.5546875" bestFit="1" customWidth="1"/>
    <col min="31" max="35" width="15.6640625" customWidth="1"/>
  </cols>
  <sheetData>
    <row r="1" spans="1:26" s="182" customFormat="1" ht="22.8">
      <c r="A1" s="271" t="str">
        <f>'Title Sheet'!$A$2</f>
        <v>Benefit-Cost Analysis Spreadsheet for the Illinois International Port - Calumet Bridges Rehabilitation Project</v>
      </c>
      <c r="B1" s="161"/>
      <c r="C1" s="268"/>
      <c r="D1" s="161"/>
      <c r="E1" s="161"/>
      <c r="F1" s="161"/>
      <c r="G1" s="161"/>
      <c r="H1" s="161"/>
      <c r="I1" s="161"/>
      <c r="J1" s="161"/>
      <c r="K1" s="161"/>
      <c r="L1" s="161"/>
      <c r="M1" s="161"/>
      <c r="N1" s="161"/>
      <c r="O1" s="161"/>
      <c r="P1" s="161"/>
      <c r="Q1" s="161"/>
    </row>
    <row r="2" spans="1:26" s="182" customFormat="1" ht="22.8">
      <c r="A2" s="189"/>
      <c r="B2" s="161"/>
      <c r="C2" s="268"/>
      <c r="D2" s="161"/>
      <c r="E2" s="161"/>
      <c r="F2" s="161"/>
      <c r="G2" s="161"/>
      <c r="H2" s="161"/>
      <c r="I2" s="161"/>
      <c r="J2" s="161"/>
      <c r="K2" s="161"/>
      <c r="L2" s="161"/>
      <c r="M2" s="161"/>
      <c r="N2" s="161"/>
      <c r="O2" s="161"/>
      <c r="P2" s="161"/>
      <c r="Q2" s="161"/>
    </row>
    <row r="3" spans="1:26" ht="21">
      <c r="A3" s="492" t="s">
        <v>48</v>
      </c>
      <c r="B3" s="492"/>
      <c r="C3" s="492"/>
      <c r="D3" s="492"/>
      <c r="E3" s="492"/>
      <c r="F3" s="281"/>
      <c r="G3" s="493" t="s">
        <v>177</v>
      </c>
      <c r="H3" s="493"/>
      <c r="I3" s="493"/>
      <c r="J3" s="493"/>
      <c r="K3" s="493"/>
      <c r="L3" s="281"/>
      <c r="M3" s="493" t="s">
        <v>214</v>
      </c>
      <c r="N3" s="493"/>
      <c r="O3" s="493"/>
      <c r="P3" s="493"/>
      <c r="Q3" s="493"/>
      <c r="S3" s="182"/>
      <c r="T3" s="182"/>
      <c r="U3" s="182"/>
      <c r="V3" s="182"/>
      <c r="W3" s="182"/>
      <c r="X3" s="182"/>
      <c r="Y3" s="182"/>
      <c r="Z3" s="182"/>
    </row>
    <row r="4" spans="1:26" s="247" customFormat="1">
      <c r="A4" s="252" t="s">
        <v>1</v>
      </c>
      <c r="B4" s="282" t="s">
        <v>210</v>
      </c>
      <c r="C4" s="253" t="s">
        <v>45</v>
      </c>
      <c r="D4" s="253" t="s">
        <v>46</v>
      </c>
      <c r="E4" s="253" t="s">
        <v>47</v>
      </c>
      <c r="F4" s="260"/>
      <c r="G4" s="253" t="s">
        <v>1</v>
      </c>
      <c r="H4" s="282" t="s">
        <v>210</v>
      </c>
      <c r="I4" s="253" t="s">
        <v>45</v>
      </c>
      <c r="J4" s="253" t="s">
        <v>46</v>
      </c>
      <c r="K4" s="253" t="s">
        <v>47</v>
      </c>
      <c r="L4" s="260"/>
      <c r="M4" s="253" t="s">
        <v>1</v>
      </c>
      <c r="N4" s="282" t="s">
        <v>210</v>
      </c>
      <c r="O4" s="253" t="s">
        <v>45</v>
      </c>
      <c r="P4" s="253" t="s">
        <v>46</v>
      </c>
      <c r="Q4" s="253" t="s">
        <v>47</v>
      </c>
      <c r="S4" s="182"/>
      <c r="T4" s="182"/>
      <c r="U4" s="182"/>
      <c r="V4" s="182"/>
      <c r="W4" s="182"/>
      <c r="X4" s="182"/>
      <c r="Y4" s="182"/>
      <c r="Z4" s="182"/>
    </row>
    <row r="5" spans="1:26">
      <c r="A5">
        <v>2025</v>
      </c>
      <c r="B5" s="311">
        <f>'Crash Rates'!P8</f>
        <v>92013.125893217963</v>
      </c>
      <c r="C5" s="311">
        <f>'Crash Rates'!M8</f>
        <v>126.39856687080926</v>
      </c>
      <c r="D5" s="311">
        <f>'Crash Rates'!N8</f>
        <v>16573.93347486094</v>
      </c>
      <c r="E5" s="311">
        <f>'Crash Rates'!O8</f>
        <v>75312.793851486218</v>
      </c>
      <c r="G5" s="161">
        <v>2025</v>
      </c>
      <c r="H5" s="311">
        <f>'Crash Rates'!V8</f>
        <v>91852.80093533831</v>
      </c>
      <c r="I5" s="311">
        <f>'Crash Rates'!S8</f>
        <v>126.17832823949563</v>
      </c>
      <c r="J5" s="311">
        <f>'Crash Rates'!T8</f>
        <v>16545.054821294263</v>
      </c>
      <c r="K5" s="311">
        <f>'Crash Rates'!U8</f>
        <v>75181.567785804553</v>
      </c>
      <c r="M5" s="161">
        <v>2025</v>
      </c>
      <c r="N5" s="311">
        <f t="shared" ref="N5:N8" si="0">B5-H5</f>
        <v>160.32495787965308</v>
      </c>
      <c r="O5" s="311">
        <f t="shared" ref="O5:O8" si="1">C5-I5</f>
        <v>0.22023863131363441</v>
      </c>
      <c r="P5" s="311">
        <f t="shared" ref="P5:P8" si="2">D5-J5</f>
        <v>28.878653566676803</v>
      </c>
      <c r="Q5" s="311">
        <f t="shared" ref="Q5:Q8" si="3">E5-K5</f>
        <v>131.2260656816652</v>
      </c>
      <c r="S5" s="182"/>
      <c r="T5" s="182"/>
      <c r="U5" s="182"/>
      <c r="V5" s="182"/>
      <c r="W5" s="182"/>
      <c r="X5" s="182"/>
      <c r="Y5" s="182"/>
      <c r="Z5" s="182"/>
    </row>
    <row r="6" spans="1:26">
      <c r="A6">
        <v>2026</v>
      </c>
      <c r="B6" s="311">
        <f>'Crash Rates'!P9</f>
        <v>92313.565079870503</v>
      </c>
      <c r="C6" s="311">
        <f>'Crash Rates'!M9</f>
        <v>126.81128062502714</v>
      </c>
      <c r="D6" s="311">
        <f>'Crash Rates'!N9</f>
        <v>16628.050309219976</v>
      </c>
      <c r="E6" s="311">
        <f>'Crash Rates'!O9</f>
        <v>75558.703490025495</v>
      </c>
      <c r="G6" s="161">
        <v>2026</v>
      </c>
      <c r="H6" s="311">
        <f>'Crash Rates'!V9</f>
        <v>92146.413142693462</v>
      </c>
      <c r="I6" s="311">
        <f>'Crash Rates'!S9</f>
        <v>126.5816637621746</v>
      </c>
      <c r="J6" s="311">
        <f>'Crash Rates'!T9</f>
        <v>16597.941940874993</v>
      </c>
      <c r="K6" s="311">
        <f>'Crash Rates'!U9</f>
        <v>75421.889538056304</v>
      </c>
      <c r="M6" s="161">
        <v>2026</v>
      </c>
      <c r="N6" s="311">
        <f t="shared" si="0"/>
        <v>167.15193717704096</v>
      </c>
      <c r="O6" s="311">
        <f t="shared" si="1"/>
        <v>0.22961686285253791</v>
      </c>
      <c r="P6" s="311">
        <f t="shared" si="2"/>
        <v>30.108368344983319</v>
      </c>
      <c r="Q6" s="311">
        <f t="shared" si="3"/>
        <v>136.81395196919038</v>
      </c>
      <c r="S6" s="182"/>
      <c r="T6" s="182"/>
      <c r="U6" s="182"/>
      <c r="V6" s="182"/>
      <c r="W6" s="182"/>
      <c r="X6" s="182"/>
      <c r="Y6" s="182"/>
      <c r="Z6" s="182"/>
    </row>
    <row r="7" spans="1:26" s="55" customFormat="1">
      <c r="A7" s="55">
        <v>2027</v>
      </c>
      <c r="B7" s="311">
        <f>'Crash Rates'!P10</f>
        <v>92614.998407571242</v>
      </c>
      <c r="C7" s="311">
        <f>'Crash Rates'!M10</f>
        <v>127.22536003227052</v>
      </c>
      <c r="D7" s="311">
        <f>'Crash Rates'!N10</f>
        <v>16682.346213982695</v>
      </c>
      <c r="E7" s="311">
        <f>'Crash Rates'!O10</f>
        <v>75805.426833556281</v>
      </c>
      <c r="F7" s="255"/>
      <c r="G7" s="255">
        <v>2027</v>
      </c>
      <c r="H7" s="311">
        <f>'Crash Rates'!V10</f>
        <v>92440.979336656819</v>
      </c>
      <c r="I7" s="311">
        <f>'Crash Rates'!S10</f>
        <v>126.98630977766554</v>
      </c>
      <c r="J7" s="311">
        <f>'Crash Rates'!T10</f>
        <v>16651.000898010709</v>
      </c>
      <c r="K7" s="311">
        <f>'Crash Rates'!U10</f>
        <v>75662.992128868442</v>
      </c>
      <c r="L7" s="255"/>
      <c r="M7" s="255">
        <v>2027</v>
      </c>
      <c r="N7" s="311">
        <f t="shared" si="0"/>
        <v>174.01907091442263</v>
      </c>
      <c r="O7" s="311">
        <f t="shared" si="1"/>
        <v>0.23905025460497598</v>
      </c>
      <c r="P7" s="311">
        <f t="shared" si="2"/>
        <v>31.345315971986565</v>
      </c>
      <c r="Q7" s="311">
        <f t="shared" si="3"/>
        <v>142.43470468783926</v>
      </c>
      <c r="S7" s="182"/>
      <c r="T7" s="182"/>
      <c r="U7" s="182"/>
      <c r="V7" s="182"/>
      <c r="W7" s="182"/>
      <c r="X7" s="182"/>
      <c r="Y7" s="182"/>
      <c r="Z7" s="182"/>
    </row>
    <row r="8" spans="1:26" s="55" customFormat="1">
      <c r="A8" s="55">
        <v>2028</v>
      </c>
      <c r="B8" s="311">
        <f>'Crash Rates'!P11</f>
        <v>92917.42922307791</v>
      </c>
      <c r="C8" s="311">
        <f>'Crash Rates'!M11</f>
        <v>127.64080968998537</v>
      </c>
      <c r="D8" s="311">
        <f>'Crash Rates'!N11</f>
        <v>16736.821791986342</v>
      </c>
      <c r="E8" s="311">
        <f>'Crash Rates'!O11</f>
        <v>76052.966621401589</v>
      </c>
      <c r="F8" s="255"/>
      <c r="G8" s="255">
        <v>2028</v>
      </c>
      <c r="H8" s="311">
        <f>'Crash Rates'!V11</f>
        <v>92736.502684199149</v>
      </c>
      <c r="I8" s="311">
        <f>'Crash Rates'!S11</f>
        <v>127.39227063644088</v>
      </c>
      <c r="J8" s="311">
        <f>'Crash Rates'!T11</f>
        <v>16704.232263154405</v>
      </c>
      <c r="K8" s="311">
        <f>'Crash Rates'!U11</f>
        <v>75904.878150408302</v>
      </c>
      <c r="L8" s="255"/>
      <c r="M8" s="255">
        <v>2028</v>
      </c>
      <c r="N8" s="311">
        <f t="shared" si="0"/>
        <v>180.92653887876077</v>
      </c>
      <c r="O8" s="311">
        <f t="shared" si="1"/>
        <v>0.24853905354449068</v>
      </c>
      <c r="P8" s="311">
        <f t="shared" si="2"/>
        <v>32.589528831937059</v>
      </c>
      <c r="Q8" s="311">
        <f t="shared" si="3"/>
        <v>148.08847099328705</v>
      </c>
      <c r="S8" s="182"/>
      <c r="T8" s="182"/>
      <c r="U8" s="182"/>
      <c r="V8" s="182"/>
      <c r="W8" s="182"/>
      <c r="X8" s="182"/>
      <c r="Y8" s="182"/>
      <c r="Z8" s="182"/>
    </row>
    <row r="9" spans="1:26" s="55" customFormat="1">
      <c r="A9" s="55">
        <v>2029</v>
      </c>
      <c r="B9" s="311">
        <f>'Crash Rates'!P12</f>
        <v>93220.86088466036</v>
      </c>
      <c r="C9" s="311">
        <f>'Crash Rates'!M12</f>
        <v>128.05763421143203</v>
      </c>
      <c r="D9" s="311">
        <f>'Crash Rates'!N12</f>
        <v>16791.477648141801</v>
      </c>
      <c r="E9" s="311">
        <f>'Crash Rates'!O12</f>
        <v>76301.32560230713</v>
      </c>
      <c r="F9" s="255"/>
      <c r="G9" s="255">
        <v>2029</v>
      </c>
      <c r="H9" s="311">
        <f>'Crash Rates'!V12</f>
        <v>93032.986363093645</v>
      </c>
      <c r="I9" s="311">
        <f>'Crash Rates'!S12</f>
        <v>127.79955070381236</v>
      </c>
      <c r="J9" s="311">
        <f>'Crash Rates'!T12</f>
        <v>16757.636608704866</v>
      </c>
      <c r="K9" s="311">
        <f>'Crash Rates'!U12</f>
        <v>76147.550203684965</v>
      </c>
      <c r="L9" s="255"/>
      <c r="M9" s="255">
        <v>2029</v>
      </c>
      <c r="N9" s="311">
        <f>B9-H9</f>
        <v>187.87452156671498</v>
      </c>
      <c r="O9" s="311">
        <f t="shared" ref="O9:O27" si="4">C9-I9</f>
        <v>0.25808350761967347</v>
      </c>
      <c r="P9" s="311">
        <f t="shared" ref="P9:P27" si="5">D9-J9</f>
        <v>33.841039436934807</v>
      </c>
      <c r="Q9" s="311">
        <f t="shared" ref="Q9:Q27" si="6">E9-K9</f>
        <v>153.77539862216508</v>
      </c>
      <c r="S9" s="182"/>
      <c r="T9" s="182"/>
      <c r="U9" s="182"/>
      <c r="V9" s="182"/>
      <c r="W9" s="182"/>
      <c r="X9" s="182"/>
      <c r="Y9" s="182"/>
      <c r="Z9" s="182"/>
    </row>
    <row r="10" spans="1:26" s="55" customFormat="1">
      <c r="A10" s="55">
        <v>2030</v>
      </c>
      <c r="B10" s="311">
        <f>'Crash Rates'!P13</f>
        <v>93525.296762141181</v>
      </c>
      <c r="C10" s="311">
        <f>'Crash Rates'!M13</f>
        <v>128.47583822574069</v>
      </c>
      <c r="D10" s="311">
        <f>'Crash Rates'!N13</f>
        <v>16846.314389440904</v>
      </c>
      <c r="E10" s="311">
        <f>'Crash Rates'!O13</f>
        <v>76550.506534474538</v>
      </c>
      <c r="F10" s="255"/>
      <c r="G10" s="255">
        <v>2030</v>
      </c>
      <c r="H10" s="311">
        <f>'Crash Rates'!V13</f>
        <v>93330.433561953876</v>
      </c>
      <c r="I10" s="311">
        <f>'Crash Rates'!S13</f>
        <v>128.20815435998313</v>
      </c>
      <c r="J10" s="311">
        <f>'Crash Rates'!T13</f>
        <v>16811.214509013505</v>
      </c>
      <c r="K10" s="311">
        <f>'Crash Rates'!U13</f>
        <v>76391.010898580382</v>
      </c>
      <c r="L10" s="255"/>
      <c r="M10" s="255">
        <v>2030</v>
      </c>
      <c r="N10" s="311">
        <f t="shared" ref="N10:N27" si="7">B10-H10</f>
        <v>194.86320018730476</v>
      </c>
      <c r="O10" s="311">
        <f t="shared" si="4"/>
        <v>0.26768386575756153</v>
      </c>
      <c r="P10" s="311">
        <f t="shared" si="5"/>
        <v>35.099880427398602</v>
      </c>
      <c r="Q10" s="311">
        <f t="shared" si="6"/>
        <v>159.49563589415629</v>
      </c>
      <c r="S10" s="182"/>
      <c r="T10" s="182"/>
      <c r="U10" s="182"/>
      <c r="V10" s="182"/>
      <c r="W10" s="182"/>
      <c r="X10" s="182"/>
      <c r="Y10" s="182"/>
      <c r="Z10" s="182"/>
    </row>
    <row r="11" spans="1:26" s="55" customFormat="1">
      <c r="A11" s="55">
        <v>2031</v>
      </c>
      <c r="B11" s="311">
        <f>'Crash Rates'!P14</f>
        <v>93830.74023693653</v>
      </c>
      <c r="C11" s="311">
        <f>'Crash Rates'!M14</f>
        <v>128.89542637796777</v>
      </c>
      <c r="D11" s="311">
        <f>'Crash Rates'!N14</f>
        <v>16901.332624963772</v>
      </c>
      <c r="E11" s="311">
        <f>'Crash Rates'!O14</f>
        <v>76800.512185594795</v>
      </c>
      <c r="F11" s="255"/>
      <c r="G11" s="255">
        <v>2031</v>
      </c>
      <c r="H11" s="311">
        <f>'Crash Rates'!V14</f>
        <v>93628.847480272088</v>
      </c>
      <c r="I11" s="311">
        <f>'Crash Rates'!S14</f>
        <v>128.61808600010042</v>
      </c>
      <c r="J11" s="311">
        <f>'Crash Rates'!T14</f>
        <v>16864.966540391273</v>
      </c>
      <c r="K11" s="311">
        <f>'Crash Rates'!U14</f>
        <v>76635.262853880718</v>
      </c>
      <c r="L11" s="255"/>
      <c r="M11" s="255">
        <v>2031</v>
      </c>
      <c r="N11" s="311">
        <f t="shared" si="7"/>
        <v>201.89275666444155</v>
      </c>
      <c r="O11" s="311">
        <f t="shared" si="4"/>
        <v>0.27734037786734689</v>
      </c>
      <c r="P11" s="311">
        <f t="shared" si="5"/>
        <v>36.366084572498949</v>
      </c>
      <c r="Q11" s="311">
        <f t="shared" si="6"/>
        <v>165.24933171407611</v>
      </c>
      <c r="S11" s="182"/>
      <c r="T11" s="182"/>
      <c r="U11" s="182"/>
      <c r="V11" s="182"/>
      <c r="W11" s="182"/>
      <c r="X11" s="182"/>
      <c r="Y11" s="182"/>
      <c r="Z11" s="182"/>
    </row>
    <row r="12" spans="1:26" s="55" customFormat="1">
      <c r="A12" s="55">
        <v>2032</v>
      </c>
      <c r="B12" s="311">
        <f>'Crash Rates'!P15</f>
        <v>94137.194702096996</v>
      </c>
      <c r="C12" s="311">
        <f>'Crash Rates'!M15</f>
        <v>129.31640332915183</v>
      </c>
      <c r="D12" s="311">
        <f>'Crash Rates'!N15</f>
        <v>16956.532965886196</v>
      </c>
      <c r="E12" s="311">
        <f>'Crash Rates'!O15</f>
        <v>77051.345332881654</v>
      </c>
      <c r="F12" s="255"/>
      <c r="G12" s="255">
        <v>2032</v>
      </c>
      <c r="H12" s="311">
        <f>'Crash Rates'!V15</f>
        <v>93928.231328457507</v>
      </c>
      <c r="I12" s="311">
        <f>'Crash Rates'!S15</f>
        <v>129.0293500343081</v>
      </c>
      <c r="J12" s="311">
        <f>'Crash Rates'!T15</f>
        <v>16918.893281115539</v>
      </c>
      <c r="K12" s="311">
        <f>'Crash Rates'!U15</f>
        <v>76880.308697307657</v>
      </c>
      <c r="L12" s="255"/>
      <c r="M12" s="255">
        <v>2032</v>
      </c>
      <c r="N12" s="311">
        <f t="shared" si="7"/>
        <v>208.96337363948987</v>
      </c>
      <c r="O12" s="311">
        <f t="shared" si="4"/>
        <v>0.2870532948437301</v>
      </c>
      <c r="P12" s="311">
        <f t="shared" si="5"/>
        <v>37.639684770656459</v>
      </c>
      <c r="Q12" s="311">
        <f t="shared" si="6"/>
        <v>171.03663557399705</v>
      </c>
      <c r="S12" s="182"/>
      <c r="T12" s="182"/>
      <c r="U12" s="182"/>
      <c r="V12" s="182"/>
      <c r="W12" s="182"/>
      <c r="X12" s="182"/>
      <c r="Y12" s="182"/>
      <c r="Z12" s="182"/>
    </row>
    <row r="13" spans="1:26" s="55" customFormat="1">
      <c r="A13" s="55">
        <v>2033</v>
      </c>
      <c r="B13" s="311">
        <f>'Crash Rates'!P16</f>
        <v>94444.663562348724</v>
      </c>
      <c r="C13" s="311">
        <f>'Crash Rates'!M16</f>
        <v>129.73877375637025</v>
      </c>
      <c r="D13" s="311">
        <f>'Crash Rates'!N16</f>
        <v>17011.916025487037</v>
      </c>
      <c r="E13" s="311">
        <f>'Crash Rates'!O16</f>
        <v>77303.008763105317</v>
      </c>
      <c r="F13" s="255"/>
      <c r="G13" s="255">
        <v>2033</v>
      </c>
      <c r="H13" s="311">
        <f>'Crash Rates'!V16</f>
        <v>94228.588327874764</v>
      </c>
      <c r="I13" s="311">
        <f>'Crash Rates'!S16</f>
        <v>129.44195088779955</v>
      </c>
      <c r="J13" s="311">
        <f>'Crash Rates'!T16</f>
        <v>16972.995311437036</v>
      </c>
      <c r="K13" s="311">
        <f>'Crash Rates'!U16</f>
        <v>77126.15106554993</v>
      </c>
      <c r="L13" s="255"/>
      <c r="M13" s="255">
        <v>2033</v>
      </c>
      <c r="N13" s="311">
        <f t="shared" si="7"/>
        <v>216.07523447395943</v>
      </c>
      <c r="O13" s="311">
        <f t="shared" si="4"/>
        <v>0.29682286857070039</v>
      </c>
      <c r="P13" s="311">
        <f t="shared" si="5"/>
        <v>38.920714050000242</v>
      </c>
      <c r="Q13" s="311">
        <f t="shared" si="6"/>
        <v>176.85769755538786</v>
      </c>
      <c r="S13" s="182"/>
      <c r="T13" s="182"/>
      <c r="U13" s="182"/>
      <c r="V13" s="182"/>
      <c r="W13" s="182"/>
      <c r="X13" s="182"/>
      <c r="Y13" s="182"/>
      <c r="Z13" s="182"/>
    </row>
    <row r="14" spans="1:26" s="55" customFormat="1">
      <c r="A14" s="55">
        <v>2034</v>
      </c>
      <c r="B14" s="311">
        <f>'Crash Rates'!P17</f>
        <v>94753.15023413465</v>
      </c>
      <c r="C14" s="311">
        <f>'Crash Rates'!M17</f>
        <v>130.1625423527957</v>
      </c>
      <c r="D14" s="311">
        <f>'Crash Rates'!N17</f>
        <v>17067.482419155636</v>
      </c>
      <c r="E14" s="311">
        <f>'Crash Rates'!O17</f>
        <v>77555.505272626222</v>
      </c>
      <c r="F14" s="255"/>
      <c r="G14" s="255">
        <v>2034</v>
      </c>
      <c r="H14" s="311">
        <f>'Crash Rates'!V17</f>
        <v>94529.921710882598</v>
      </c>
      <c r="I14" s="311">
        <f>'Crash Rates'!S17</f>
        <v>129.85589300087071</v>
      </c>
      <c r="J14" s="311">
        <f>'Crash Rates'!T17</f>
        <v>17027.273213586806</v>
      </c>
      <c r="K14" s="311">
        <f>'Crash Rates'!U17</f>
        <v>77372.792604294926</v>
      </c>
      <c r="L14" s="255"/>
      <c r="M14" s="255">
        <v>2034</v>
      </c>
      <c r="N14" s="311">
        <f t="shared" si="7"/>
        <v>223.22852325205167</v>
      </c>
      <c r="O14" s="311">
        <f t="shared" si="4"/>
        <v>0.30664935192498888</v>
      </c>
      <c r="P14" s="311">
        <f t="shared" si="5"/>
        <v>40.20920556882993</v>
      </c>
      <c r="Q14" s="311">
        <f t="shared" si="6"/>
        <v>182.7126683312963</v>
      </c>
      <c r="S14" s="182"/>
      <c r="T14" s="182"/>
      <c r="U14" s="182"/>
      <c r="V14" s="182"/>
      <c r="W14" s="182"/>
      <c r="X14" s="182"/>
      <c r="Y14" s="182"/>
      <c r="Z14" s="182"/>
    </row>
    <row r="15" spans="1:26" s="55" customFormat="1">
      <c r="A15" s="55">
        <v>2035</v>
      </c>
      <c r="B15" s="311">
        <f>'Crash Rates'!P18</f>
        <v>95062.65814565582</v>
      </c>
      <c r="C15" s="311">
        <f>'Crash Rates'!M18</f>
        <v>130.58771382775302</v>
      </c>
      <c r="D15" s="311">
        <f>'Crash Rates'!N18</f>
        <v>17123.232764399294</v>
      </c>
      <c r="E15" s="311">
        <f>'Crash Rates'!O18</f>
        <v>77808.837667428772</v>
      </c>
      <c r="F15" s="255"/>
      <c r="G15" s="255">
        <v>2035</v>
      </c>
      <c r="H15" s="311">
        <f>'Crash Rates'!V18</f>
        <v>94832.23472087257</v>
      </c>
      <c r="I15" s="311">
        <f>'Crash Rates'!S18</f>
        <v>130.2711808289734</v>
      </c>
      <c r="J15" s="311">
        <f>'Crash Rates'!T18</f>
        <v>17081.727571783194</v>
      </c>
      <c r="K15" s="311">
        <f>'Crash Rates'!U18</f>
        <v>77620.2359682604</v>
      </c>
      <c r="L15" s="255"/>
      <c r="M15" s="255">
        <v>2035</v>
      </c>
      <c r="N15" s="311">
        <f t="shared" si="7"/>
        <v>230.42342478325008</v>
      </c>
      <c r="O15" s="311">
        <f t="shared" si="4"/>
        <v>0.31653299877962127</v>
      </c>
      <c r="P15" s="311">
        <f t="shared" si="5"/>
        <v>41.505192616099521</v>
      </c>
      <c r="Q15" s="311">
        <f t="shared" si="6"/>
        <v>188.60169916837185</v>
      </c>
      <c r="S15" s="182"/>
      <c r="T15" s="182"/>
      <c r="U15" s="182"/>
      <c r="V15" s="182"/>
      <c r="W15" s="182"/>
      <c r="X15" s="182"/>
      <c r="Y15" s="182"/>
      <c r="Z15" s="182"/>
    </row>
    <row r="16" spans="1:26" s="55" customFormat="1">
      <c r="A16" s="55">
        <v>2036</v>
      </c>
      <c r="B16" s="311">
        <f>'Crash Rates'!P19</f>
        <v>95373.190736912977</v>
      </c>
      <c r="C16" s="311">
        <f>'Crash Rates'!M19</f>
        <v>131.01429290677629</v>
      </c>
      <c r="D16" s="311">
        <f>'Crash Rates'!N19</f>
        <v>17179.167680850725</v>
      </c>
      <c r="E16" s="311">
        <f>'Crash Rates'!O19</f>
        <v>78063.008763155478</v>
      </c>
      <c r="F16" s="255"/>
      <c r="G16" s="255">
        <v>2036</v>
      </c>
      <c r="H16" s="311">
        <f>'Crash Rates'!V19</f>
        <v>95135.530612307964</v>
      </c>
      <c r="I16" s="311">
        <f>'Crash Rates'!S19</f>
        <v>130.68781884276859</v>
      </c>
      <c r="J16" s="311">
        <f>'Crash Rates'!T19</f>
        <v>17136.35897223885</v>
      </c>
      <c r="K16" s="311">
        <f>'Crash Rates'!U19</f>
        <v>77868.483821226342</v>
      </c>
      <c r="L16" s="255"/>
      <c r="M16" s="255">
        <v>2036</v>
      </c>
      <c r="N16" s="311">
        <f t="shared" si="7"/>
        <v>237.66012460501224</v>
      </c>
      <c r="O16" s="311">
        <f t="shared" si="4"/>
        <v>0.32647406400769796</v>
      </c>
      <c r="P16" s="311">
        <f t="shared" si="5"/>
        <v>42.808708611875772</v>
      </c>
      <c r="Q16" s="311">
        <f t="shared" si="6"/>
        <v>194.52494192913582</v>
      </c>
      <c r="S16" s="182"/>
      <c r="T16" s="182"/>
      <c r="U16" s="182"/>
      <c r="V16" s="182"/>
      <c r="W16" s="182"/>
      <c r="X16" s="182"/>
      <c r="Y16" s="182"/>
      <c r="Z16" s="182"/>
    </row>
    <row r="17" spans="1:26" s="55" customFormat="1">
      <c r="A17" s="55">
        <v>2037</v>
      </c>
      <c r="B17" s="311">
        <f>'Crash Rates'!P20</f>
        <v>95684.751459748222</v>
      </c>
      <c r="C17" s="311">
        <f>'Crash Rates'!M20</f>
        <v>131.44228433166617</v>
      </c>
      <c r="D17" s="311">
        <f>'Crash Rates'!N20</f>
        <v>17235.28779027559</v>
      </c>
      <c r="E17" s="311">
        <f>'Crash Rates'!O20</f>
        <v>78318.021385140979</v>
      </c>
      <c r="F17" s="255"/>
      <c r="G17" s="255">
        <v>2037</v>
      </c>
      <c r="H17" s="311">
        <f>'Crash Rates'!V20</f>
        <v>95439.812650762848</v>
      </c>
      <c r="I17" s="311">
        <f>'Crash Rates'!S20</f>
        <v>131.10581152818023</v>
      </c>
      <c r="J17" s="311">
        <f>'Crash Rates'!T20</f>
        <v>17191.168003167753</v>
      </c>
      <c r="K17" s="311">
        <f>'Crash Rates'!U20</f>
        <v>78117.538836066917</v>
      </c>
      <c r="L17" s="255"/>
      <c r="M17" s="255">
        <v>2037</v>
      </c>
      <c r="N17" s="311">
        <f t="shared" si="7"/>
        <v>244.93880898537464</v>
      </c>
      <c r="O17" s="311">
        <f t="shared" si="4"/>
        <v>0.33647280348594677</v>
      </c>
      <c r="P17" s="311">
        <f t="shared" si="5"/>
        <v>44.119787107836601</v>
      </c>
      <c r="Q17" s="311">
        <f t="shared" si="6"/>
        <v>200.48254907406226</v>
      </c>
      <c r="S17" s="182"/>
      <c r="T17" s="182"/>
      <c r="U17" s="182"/>
      <c r="V17" s="182"/>
      <c r="W17" s="182"/>
      <c r="X17" s="182"/>
      <c r="Y17" s="182"/>
      <c r="Z17" s="182"/>
    </row>
    <row r="18" spans="1:26" s="55" customFormat="1">
      <c r="A18" s="55">
        <v>2038</v>
      </c>
      <c r="B18" s="311">
        <f>'Crash Rates'!P21</f>
        <v>95997.343777886839</v>
      </c>
      <c r="C18" s="311">
        <f>'Crash Rates'!M21</f>
        <v>131.87169286054714</v>
      </c>
      <c r="D18" s="311">
        <f>'Crash Rates'!N21</f>
        <v>17291.593716579999</v>
      </c>
      <c r="E18" s="311">
        <f>'Crash Rates'!O21</f>
        <v>78573.878368446298</v>
      </c>
      <c r="F18" s="255"/>
      <c r="G18" s="255">
        <v>2038</v>
      </c>
      <c r="H18" s="311">
        <f>'Crash Rates'!V21</f>
        <v>95745.084112961238</v>
      </c>
      <c r="I18" s="311">
        <f>'Crash Rates'!S21</f>
        <v>131.52516338644895</v>
      </c>
      <c r="J18" s="311">
        <f>'Crash Rates'!T21</f>
        <v>17246.15525479228</v>
      </c>
      <c r="K18" s="311">
        <f>'Crash Rates'!U21</f>
        <v>78367.403694782508</v>
      </c>
      <c r="L18" s="255"/>
      <c r="M18" s="255">
        <v>2038</v>
      </c>
      <c r="N18" s="311">
        <f t="shared" si="7"/>
        <v>252.2596649256011</v>
      </c>
      <c r="O18" s="311">
        <f t="shared" si="4"/>
        <v>0.34652947409819035</v>
      </c>
      <c r="P18" s="311">
        <f t="shared" si="5"/>
        <v>45.438461787718552</v>
      </c>
      <c r="Q18" s="311">
        <f t="shared" si="6"/>
        <v>206.47467366378987</v>
      </c>
      <c r="S18" s="182"/>
      <c r="T18" s="182"/>
      <c r="U18" s="182"/>
      <c r="V18" s="182"/>
      <c r="W18" s="182"/>
      <c r="X18" s="182"/>
      <c r="Y18" s="182"/>
      <c r="Z18" s="182"/>
    </row>
    <row r="19" spans="1:26" s="55" customFormat="1">
      <c r="A19" s="55">
        <v>2039</v>
      </c>
      <c r="B19" s="311">
        <f>'Crash Rates'!P22</f>
        <v>96310.971166979289</v>
      </c>
      <c r="C19" s="311">
        <f>'Crash Rates'!M22</f>
        <v>132.30252326792535</v>
      </c>
      <c r="D19" s="311">
        <f>'Crash Rates'!N22</f>
        <v>17348.086085818111</v>
      </c>
      <c r="E19" s="311">
        <f>'Crash Rates'!O22</f>
        <v>78830.582557893256</v>
      </c>
      <c r="F19" s="255"/>
      <c r="G19" s="255">
        <v>2039</v>
      </c>
      <c r="H19" s="311">
        <f>'Crash Rates'!V22</f>
        <v>96051.348286816487</v>
      </c>
      <c r="I19" s="311">
        <f>'Crash Rates'!S22</f>
        <v>131.94587893418614</v>
      </c>
      <c r="J19" s="311">
        <f>'Crash Rates'!T22</f>
        <v>17301.321319350296</v>
      </c>
      <c r="K19" s="311">
        <f>'Crash Rates'!U22</f>
        <v>78618.08108853201</v>
      </c>
      <c r="L19" s="255"/>
      <c r="M19" s="255">
        <v>2039</v>
      </c>
      <c r="N19" s="311">
        <f t="shared" si="7"/>
        <v>259.62288016280218</v>
      </c>
      <c r="O19" s="311">
        <f t="shared" si="4"/>
        <v>0.35664433373921156</v>
      </c>
      <c r="P19" s="311">
        <f t="shared" si="5"/>
        <v>46.764766467815207</v>
      </c>
      <c r="Q19" s="311">
        <f t="shared" si="6"/>
        <v>212.50146936124656</v>
      </c>
      <c r="S19" s="182"/>
      <c r="T19" s="182"/>
      <c r="U19" s="182"/>
      <c r="V19" s="182"/>
      <c r="W19" s="182"/>
      <c r="X19" s="182"/>
      <c r="Y19" s="182"/>
      <c r="Z19" s="182"/>
    </row>
    <row r="20" spans="1:26" s="55" customFormat="1">
      <c r="A20" s="55">
        <v>2040</v>
      </c>
      <c r="B20" s="311">
        <f>'Crash Rates'!P23</f>
        <v>96625.637114643323</v>
      </c>
      <c r="C20" s="311">
        <f>'Crash Rates'!M23</f>
        <v>132.7347803447465</v>
      </c>
      <c r="D20" s="311">
        <f>'Crash Rates'!N23</f>
        <v>17404.765526199695</v>
      </c>
      <c r="E20" s="311">
        <f>'Crash Rates'!O23</f>
        <v>79088.136808098876</v>
      </c>
      <c r="F20" s="255"/>
      <c r="G20" s="255">
        <v>2040</v>
      </c>
      <c r="H20" s="311">
        <f>'Crash Rates'!V23</f>
        <v>96358.608471470667</v>
      </c>
      <c r="I20" s="311">
        <f>'Crash Rates'!S23</f>
        <v>132.36796270342813</v>
      </c>
      <c r="J20" s="311">
        <f>'Crash Rates'!T23</f>
        <v>17356.666791102245</v>
      </c>
      <c r="K20" s="311">
        <f>'Crash Rates'!U23</f>
        <v>78869.573717664985</v>
      </c>
      <c r="L20" s="255"/>
      <c r="M20" s="255">
        <v>2040</v>
      </c>
      <c r="N20" s="311">
        <f t="shared" si="7"/>
        <v>267.0286431726563</v>
      </c>
      <c r="O20" s="311">
        <f t="shared" si="4"/>
        <v>0.36681764131836303</v>
      </c>
      <c r="P20" s="311">
        <f t="shared" si="5"/>
        <v>48.098735097450117</v>
      </c>
      <c r="Q20" s="311">
        <f t="shared" si="6"/>
        <v>218.56309043389047</v>
      </c>
      <c r="S20" s="182"/>
      <c r="T20" s="182"/>
      <c r="U20" s="182"/>
      <c r="V20" s="182"/>
      <c r="W20" s="182"/>
      <c r="X20" s="182"/>
      <c r="Y20" s="182"/>
      <c r="Z20" s="182"/>
    </row>
    <row r="21" spans="1:26" s="55" customFormat="1">
      <c r="A21" s="55">
        <v>2041</v>
      </c>
      <c r="B21" s="311">
        <f>'Crash Rates'!P24</f>
        <v>96941.345120506288</v>
      </c>
      <c r="C21" s="311">
        <f>'Crash Rates'!M24</f>
        <v>133.16846889845382</v>
      </c>
      <c r="D21" s="311">
        <f>'Crash Rates'!N24</f>
        <v>17461.632668097755</v>
      </c>
      <c r="E21" s="311">
        <f>'Crash Rates'!O24</f>
        <v>79346.54398351007</v>
      </c>
      <c r="F21" s="255"/>
      <c r="G21" s="255">
        <v>2041</v>
      </c>
      <c r="H21" s="311">
        <f>'Crash Rates'!V24</f>
        <v>96666.867977334245</v>
      </c>
      <c r="I21" s="311">
        <f>'Crash Rates'!S24</f>
        <v>132.7914192416907</v>
      </c>
      <c r="J21" s="311">
        <f>'Crash Rates'!T24</f>
        <v>17412.192266338308</v>
      </c>
      <c r="K21" s="311">
        <f>'Crash Rates'!U24</f>
        <v>79121.88429175425</v>
      </c>
      <c r="L21" s="255"/>
      <c r="M21" s="255">
        <v>2041</v>
      </c>
      <c r="N21" s="311">
        <f t="shared" si="7"/>
        <v>274.47714317204372</v>
      </c>
      <c r="O21" s="311">
        <f t="shared" si="4"/>
        <v>0.37704965676311986</v>
      </c>
      <c r="P21" s="311">
        <f t="shared" si="5"/>
        <v>49.440401759446104</v>
      </c>
      <c r="Q21" s="311">
        <f t="shared" si="6"/>
        <v>224.65969175581995</v>
      </c>
      <c r="S21" s="182"/>
      <c r="T21" s="182"/>
      <c r="U21" s="182"/>
      <c r="V21" s="182"/>
      <c r="W21" s="182"/>
      <c r="X21" s="182"/>
      <c r="Y21" s="182"/>
      <c r="Z21" s="182"/>
    </row>
    <row r="22" spans="1:26" s="55" customFormat="1">
      <c r="A22" s="55">
        <v>2042</v>
      </c>
      <c r="B22" s="311">
        <f>'Crash Rates'!P25</f>
        <v>97258.098696247587</v>
      </c>
      <c r="C22" s="311">
        <f>'Crash Rates'!M25</f>
        <v>133.60359375304651</v>
      </c>
      <c r="D22" s="311">
        <f>'Crash Rates'!N25</f>
        <v>17518.688144056188</v>
      </c>
      <c r="E22" s="311">
        <f>'Crash Rates'!O25</f>
        <v>79605.806958438348</v>
      </c>
      <c r="F22" s="255"/>
      <c r="G22" s="255">
        <v>2042</v>
      </c>
      <c r="H22" s="311">
        <f>'Crash Rates'!V25</f>
        <v>96976.130126125892</v>
      </c>
      <c r="I22" s="311">
        <f>'Crash Rates'!S25</f>
        <v>133.21625311202368</v>
      </c>
      <c r="J22" s="311">
        <f>'Crash Rates'!T25</f>
        <v>17467.898343385554</v>
      </c>
      <c r="K22" s="311">
        <f>'Crash Rates'!U25</f>
        <v>79375.015529628319</v>
      </c>
      <c r="L22" s="255"/>
      <c r="M22" s="255">
        <v>2042</v>
      </c>
      <c r="N22" s="311">
        <f t="shared" si="7"/>
        <v>281.96857012169494</v>
      </c>
      <c r="O22" s="311">
        <f t="shared" si="4"/>
        <v>0.38734064102283128</v>
      </c>
      <c r="P22" s="311">
        <f t="shared" si="5"/>
        <v>50.789800670634577</v>
      </c>
      <c r="Q22" s="311">
        <f t="shared" si="6"/>
        <v>230.79142881002917</v>
      </c>
      <c r="S22" s="182"/>
      <c r="T22" s="182"/>
      <c r="U22" s="182"/>
      <c r="V22" s="182"/>
      <c r="W22" s="182"/>
      <c r="X22" s="182"/>
      <c r="Y22" s="182"/>
      <c r="Z22" s="182"/>
    </row>
    <row r="23" spans="1:26" s="55" customFormat="1">
      <c r="A23" s="55">
        <v>2043</v>
      </c>
      <c r="B23" s="311">
        <f>'Crash Rates'!P26</f>
        <v>97575.901365641272</v>
      </c>
      <c r="C23" s="311">
        <f>'Crash Rates'!M26</f>
        <v>134.04015974913816</v>
      </c>
      <c r="D23" s="311">
        <f>'Crash Rates'!N26</f>
        <v>17575.932588797437</v>
      </c>
      <c r="E23" s="311">
        <f>'Crash Rates'!O26</f>
        <v>79865.928617094702</v>
      </c>
      <c r="F23" s="255"/>
      <c r="G23" s="255">
        <v>2043</v>
      </c>
      <c r="H23" s="311">
        <f>'Crash Rates'!V26</f>
        <v>97286.398250912258</v>
      </c>
      <c r="I23" s="311">
        <f>'Crash Rates'!S26</f>
        <v>133.64246889306565</v>
      </c>
      <c r="J23" s="311">
        <f>'Crash Rates'!T26</f>
        <v>17523.785622615116</v>
      </c>
      <c r="K23" s="311">
        <f>'Crash Rates'!U26</f>
        <v>79628.970159404082</v>
      </c>
      <c r="L23" s="255"/>
      <c r="M23" s="255">
        <v>2043</v>
      </c>
      <c r="N23" s="311">
        <f t="shared" si="7"/>
        <v>289.50311472901376</v>
      </c>
      <c r="O23" s="311">
        <f t="shared" si="4"/>
        <v>0.39769085607250076</v>
      </c>
      <c r="P23" s="311">
        <f t="shared" si="5"/>
        <v>52.146966182321194</v>
      </c>
      <c r="Q23" s="311">
        <f t="shared" si="6"/>
        <v>236.95845769061998</v>
      </c>
      <c r="S23" s="182"/>
      <c r="T23" s="182"/>
      <c r="U23" s="182"/>
      <c r="V23" s="182"/>
      <c r="W23" s="182"/>
      <c r="X23" s="182"/>
      <c r="Y23" s="182"/>
      <c r="Z23" s="182"/>
    </row>
    <row r="24" spans="1:26" s="55" customFormat="1">
      <c r="A24" s="55">
        <v>2044</v>
      </c>
      <c r="B24" s="311">
        <f>'Crash Rates'!P27</f>
        <v>97894.75666459871</v>
      </c>
      <c r="C24" s="311">
        <f>'Crash Rates'!M27</f>
        <v>134.47817174401544</v>
      </c>
      <c r="D24" s="311">
        <f>'Crash Rates'!N27</f>
        <v>17633.366639230204</v>
      </c>
      <c r="E24" s="311">
        <f>'Crash Rates'!O27</f>
        <v>80126.911853624493</v>
      </c>
      <c r="F24" s="255"/>
      <c r="G24" s="255">
        <v>2044</v>
      </c>
      <c r="H24" s="311">
        <f>'Crash Rates'!V27</f>
        <v>97597.675696148173</v>
      </c>
      <c r="I24" s="311">
        <f>'Crash Rates'!S27</f>
        <v>134.07007117909913</v>
      </c>
      <c r="J24" s="311">
        <f>'Crash Rates'!T27</f>
        <v>17579.854706449434</v>
      </c>
      <c r="K24" s="311">
        <f>'Crash Rates'!U27</f>
        <v>79883.75091851964</v>
      </c>
      <c r="L24" s="255"/>
      <c r="M24" s="255">
        <v>2044</v>
      </c>
      <c r="N24" s="311">
        <f t="shared" si="7"/>
        <v>297.0809684505366</v>
      </c>
      <c r="O24" s="311">
        <f t="shared" si="4"/>
        <v>0.4081005649163103</v>
      </c>
      <c r="P24" s="311">
        <f t="shared" si="5"/>
        <v>53.511932780769712</v>
      </c>
      <c r="Q24" s="311">
        <f t="shared" si="6"/>
        <v>243.16093510485371</v>
      </c>
      <c r="S24" s="182"/>
      <c r="T24" s="182"/>
      <c r="U24" s="182"/>
      <c r="V24" s="182"/>
      <c r="W24" s="182"/>
      <c r="X24" s="182"/>
      <c r="Y24" s="182"/>
      <c r="Z24" s="182"/>
    </row>
    <row r="25" spans="1:26" s="55" customFormat="1">
      <c r="A25" s="55">
        <v>2045</v>
      </c>
      <c r="B25" s="311">
        <f>'Crash Rates'!P28</f>
        <v>98214.66814121163</v>
      </c>
      <c r="C25" s="311">
        <f>'Crash Rates'!M28</f>
        <v>134.91763461169722</v>
      </c>
      <c r="D25" s="311">
        <f>'Crash Rates'!N28</f>
        <v>17690.990934457175</v>
      </c>
      <c r="E25" s="311">
        <f>'Crash Rates'!O28</f>
        <v>80388.759572142764</v>
      </c>
      <c r="F25" s="255"/>
      <c r="G25" s="255">
        <v>2045</v>
      </c>
      <c r="H25" s="311">
        <f>'Crash Rates'!V28</f>
        <v>97909.965817716686</v>
      </c>
      <c r="I25" s="311">
        <f>'Crash Rates'!S28</f>
        <v>134.49906458010562</v>
      </c>
      <c r="J25" s="311">
        <f>'Crash Rates'!T28</f>
        <v>17636.106199369471</v>
      </c>
      <c r="K25" s="311">
        <f>'Crash Rates'!U28</f>
        <v>80139.36055376711</v>
      </c>
      <c r="L25" s="255"/>
      <c r="M25" s="255">
        <v>2045</v>
      </c>
      <c r="N25" s="311">
        <f t="shared" si="7"/>
        <v>304.70232349494472</v>
      </c>
      <c r="O25" s="311">
        <f t="shared" si="4"/>
        <v>0.41857003159159945</v>
      </c>
      <c r="P25" s="311">
        <f t="shared" si="5"/>
        <v>54.88473508770403</v>
      </c>
      <c r="Q25" s="311">
        <f t="shared" si="6"/>
        <v>249.39901837565412</v>
      </c>
      <c r="S25" s="182"/>
      <c r="T25" s="182"/>
      <c r="U25" s="182"/>
      <c r="V25" s="182"/>
      <c r="W25" s="182"/>
      <c r="X25" s="182"/>
      <c r="Y25" s="182"/>
      <c r="Z25" s="182"/>
    </row>
    <row r="26" spans="1:26" s="55" customFormat="1">
      <c r="A26" s="55">
        <v>2046</v>
      </c>
      <c r="B26" s="311">
        <f>'Crash Rates'!P29</f>
        <v>98535.639355795109</v>
      </c>
      <c r="C26" s="311">
        <f>'Crash Rates'!M29</f>
        <v>135.35855324299354</v>
      </c>
      <c r="D26" s="311">
        <f>'Crash Rates'!N29</f>
        <v>17748.806115782776</v>
      </c>
      <c r="E26" s="311">
        <f>'Crash Rates'!O29</f>
        <v>80651.474686769332</v>
      </c>
      <c r="F26" s="255"/>
      <c r="G26" s="255">
        <v>2046</v>
      </c>
      <c r="H26" s="311">
        <f>'Crash Rates'!V29</f>
        <v>98223.271982969643</v>
      </c>
      <c r="I26" s="311">
        <f>'Crash Rates'!S29</f>
        <v>134.92945372182135</v>
      </c>
      <c r="J26" s="311">
        <f>'Crash Rates'!T29</f>
        <v>17692.540707922006</v>
      </c>
      <c r="K26" s="311">
        <f>'Crash Rates'!U29</f>
        <v>80395.801821325818</v>
      </c>
      <c r="L26" s="255"/>
      <c r="M26" s="255">
        <v>2046</v>
      </c>
      <c r="N26" s="311">
        <f t="shared" si="7"/>
        <v>312.36737282546528</v>
      </c>
      <c r="O26" s="311">
        <f t="shared" si="4"/>
        <v>0.42909952117219063</v>
      </c>
      <c r="P26" s="311">
        <f t="shared" si="5"/>
        <v>56.26540786077021</v>
      </c>
      <c r="Q26" s="311">
        <f t="shared" si="6"/>
        <v>255.67286544351373</v>
      </c>
      <c r="S26" s="182"/>
      <c r="T26" s="182"/>
      <c r="U26" s="182"/>
      <c r="V26" s="182"/>
      <c r="W26" s="182"/>
      <c r="X26" s="182"/>
      <c r="Y26" s="182"/>
      <c r="Z26" s="182"/>
    </row>
    <row r="27" spans="1:26" s="55" customFormat="1">
      <c r="A27" s="55">
        <v>2047</v>
      </c>
      <c r="B27" s="311">
        <f>'Crash Rates'!P30</f>
        <v>98857.673880930772</v>
      </c>
      <c r="C27" s="311">
        <f>'Crash Rates'!M30</f>
        <v>135.8009325455651</v>
      </c>
      <c r="D27" s="311">
        <f>'Crash Rates'!N30</f>
        <v>17806.812826720965</v>
      </c>
      <c r="E27" s="311">
        <f>'Crash Rates'!O30</f>
        <v>80915.060121664254</v>
      </c>
      <c r="F27" s="255"/>
      <c r="G27" s="255">
        <v>2047</v>
      </c>
      <c r="H27" s="311">
        <f>'Crash Rates'!V30</f>
        <v>98537.597570767961</v>
      </c>
      <c r="I27" s="311">
        <f>'Crash Rates'!S30</f>
        <v>135.36124324579251</v>
      </c>
      <c r="J27" s="311">
        <f>'Crash Rates'!T30</f>
        <v>17749.158840726901</v>
      </c>
      <c r="K27" s="311">
        <f>'Crash Rates'!U30</f>
        <v>80653.077486795257</v>
      </c>
      <c r="L27" s="255"/>
      <c r="M27" s="255">
        <v>2047</v>
      </c>
      <c r="N27" s="311">
        <f t="shared" si="7"/>
        <v>320.07631016281084</v>
      </c>
      <c r="O27" s="311">
        <f t="shared" si="4"/>
        <v>0.43968929977259563</v>
      </c>
      <c r="P27" s="311">
        <f t="shared" si="5"/>
        <v>57.653985994063987</v>
      </c>
      <c r="Q27" s="311">
        <f t="shared" si="6"/>
        <v>261.98263486899668</v>
      </c>
      <c r="S27" s="182"/>
      <c r="T27" s="182"/>
      <c r="U27" s="182"/>
      <c r="V27" s="182"/>
      <c r="W27" s="182"/>
      <c r="X27" s="182"/>
      <c r="Y27" s="182"/>
      <c r="Z27" s="182"/>
    </row>
    <row r="28" spans="1:26" s="55" customFormat="1">
      <c r="A28" s="55">
        <v>2048</v>
      </c>
      <c r="B28" s="311">
        <f>'Crash Rates'!P31</f>
        <v>99180.775301510264</v>
      </c>
      <c r="C28" s="311">
        <f>'Crash Rates'!M31</f>
        <v>136.2447774439828</v>
      </c>
      <c r="D28" s="311">
        <f>'Crash Rates'!N31</f>
        <v>17865.011713003038</v>
      </c>
      <c r="E28" s="311">
        <f>'Crash Rates'!O31</f>
        <v>81179.518811063244</v>
      </c>
      <c r="F28" s="255"/>
      <c r="G28" s="255">
        <v>2048</v>
      </c>
      <c r="H28" s="311">
        <f>'Crash Rates'!V31</f>
        <v>98852.945971522393</v>
      </c>
      <c r="I28" s="311">
        <f>'Crash Rates'!S31</f>
        <v>135.7944378094314</v>
      </c>
      <c r="J28" s="311">
        <f>'Crash Rates'!T31</f>
        <v>17805.961208484445</v>
      </c>
      <c r="K28" s="311">
        <f>'Crash Rates'!U31</f>
        <v>80911.190325228512</v>
      </c>
      <c r="L28" s="255"/>
      <c r="M28" s="255">
        <v>2048</v>
      </c>
      <c r="N28" s="311">
        <f t="shared" ref="N28:N34" si="8">B28-H28</f>
        <v>327.82932998787146</v>
      </c>
      <c r="O28" s="311">
        <f t="shared" ref="O28:O34" si="9">C28-I28</f>
        <v>0.45033963455139769</v>
      </c>
      <c r="P28" s="311">
        <f t="shared" ref="P28:P34" si="10">D28-J28</f>
        <v>59.050504518592788</v>
      </c>
      <c r="Q28" s="311">
        <f t="shared" ref="Q28:Q34" si="11">E28-K28</f>
        <v>268.32848583473242</v>
      </c>
      <c r="S28" s="182"/>
      <c r="T28" s="182"/>
      <c r="U28" s="182"/>
      <c r="V28" s="182"/>
      <c r="W28" s="182"/>
      <c r="X28" s="182"/>
      <c r="Y28" s="182"/>
      <c r="Z28" s="182"/>
    </row>
    <row r="29" spans="1:26" s="55" customFormat="1">
      <c r="A29" s="55">
        <v>2049</v>
      </c>
      <c r="B29" s="311">
        <f>'Crash Rates'!P32</f>
        <v>99504.947214778658</v>
      </c>
      <c r="C29" s="311">
        <f>'Crash Rates'!M32</f>
        <v>136.69009287978753</v>
      </c>
      <c r="D29" s="311">
        <f>'Crash Rates'!N32</f>
        <v>17923.403422585474</v>
      </c>
      <c r="E29" s="311">
        <f>'Crash Rates'!O32</f>
        <v>81444.853699313404</v>
      </c>
      <c r="F29" s="255"/>
      <c r="G29" s="255">
        <v>2049</v>
      </c>
      <c r="H29" s="311">
        <f>'Crash Rates'!V32</f>
        <v>99169.320587234266</v>
      </c>
      <c r="I29" s="311">
        <f>'Crash Rates'!S32</f>
        <v>136.22904208607224</v>
      </c>
      <c r="J29" s="311">
        <f>'Crash Rates'!T32</f>
        <v>17862.948423982685</v>
      </c>
      <c r="K29" s="311">
        <f>'Crash Rates'!U32</f>
        <v>81170.143121165514</v>
      </c>
      <c r="L29" s="255"/>
      <c r="M29" s="255">
        <v>2049</v>
      </c>
      <c r="N29" s="311">
        <f t="shared" si="8"/>
        <v>335.62662754439225</v>
      </c>
      <c r="O29" s="311">
        <f t="shared" si="9"/>
        <v>0.46105079371528745</v>
      </c>
      <c r="P29" s="311">
        <f t="shared" si="10"/>
        <v>60.454998602788692</v>
      </c>
      <c r="Q29" s="311">
        <f t="shared" si="11"/>
        <v>274.71057814788946</v>
      </c>
      <c r="S29" s="182"/>
      <c r="T29" s="182"/>
      <c r="U29" s="182"/>
      <c r="V29" s="182"/>
      <c r="W29" s="182"/>
      <c r="X29" s="182"/>
      <c r="Y29" s="182"/>
      <c r="Z29" s="182"/>
    </row>
    <row r="30" spans="1:26" s="55" customFormat="1">
      <c r="A30" s="55">
        <v>2050</v>
      </c>
      <c r="B30" s="311">
        <f>'Crash Rates'!P33</f>
        <v>99830.193230378296</v>
      </c>
      <c r="C30" s="311">
        <f>'Crash Rates'!M33</f>
        <v>137.13688381155029</v>
      </c>
      <c r="D30" s="311">
        <f>'Crash Rates'!N33</f>
        <v>17981.988605657807</v>
      </c>
      <c r="E30" s="311">
        <f>'Crash Rates'!O33</f>
        <v>81711.06774090894</v>
      </c>
      <c r="F30" s="283"/>
      <c r="G30" s="255">
        <v>2050</v>
      </c>
      <c r="H30" s="311">
        <f>'Crash Rates'!V33</f>
        <v>99486.724831536514</v>
      </c>
      <c r="I30" s="311">
        <f>'Crash Rates'!S33</f>
        <v>136.66506076502762</v>
      </c>
      <c r="J30" s="311">
        <f>'Crash Rates'!T33</f>
        <v>17920.121102104815</v>
      </c>
      <c r="K30" s="311">
        <f>'Crash Rates'!U33</f>
        <v>81429.938668666669</v>
      </c>
      <c r="L30" s="255"/>
      <c r="M30" s="255">
        <v>2050</v>
      </c>
      <c r="N30" s="311">
        <f t="shared" si="8"/>
        <v>343.46839884178189</v>
      </c>
      <c r="O30" s="311">
        <f t="shared" si="9"/>
        <v>0.47182304652267248</v>
      </c>
      <c r="P30" s="311">
        <f t="shared" si="10"/>
        <v>61.867503552992275</v>
      </c>
      <c r="Q30" s="311">
        <f t="shared" si="11"/>
        <v>281.12907224227092</v>
      </c>
      <c r="S30" s="182"/>
      <c r="T30" s="182"/>
      <c r="U30" s="182"/>
      <c r="V30" s="182"/>
      <c r="W30" s="182"/>
      <c r="X30" s="182"/>
      <c r="Y30" s="182"/>
      <c r="Z30" s="182"/>
    </row>
    <row r="31" spans="1:26" s="55" customFormat="1">
      <c r="A31" s="55">
        <v>2051</v>
      </c>
      <c r="B31" s="311">
        <f>'Crash Rates'!P34</f>
        <v>99830.193230378296</v>
      </c>
      <c r="C31" s="311">
        <f>'Crash Rates'!M34</f>
        <v>137.13688381155029</v>
      </c>
      <c r="D31" s="311">
        <f>'Crash Rates'!N34</f>
        <v>17981.988605657807</v>
      </c>
      <c r="E31" s="311">
        <f>'Crash Rates'!O34</f>
        <v>81711.06774090894</v>
      </c>
      <c r="F31" s="283"/>
      <c r="G31" s="255">
        <v>2051</v>
      </c>
      <c r="H31" s="311">
        <f>'Crash Rates'!V34</f>
        <v>99486.724831536514</v>
      </c>
      <c r="I31" s="311">
        <f>'Crash Rates'!S34</f>
        <v>136.66506076502762</v>
      </c>
      <c r="J31" s="311">
        <f>'Crash Rates'!T34</f>
        <v>17920.121102104815</v>
      </c>
      <c r="K31" s="311">
        <f>'Crash Rates'!U34</f>
        <v>81429.938668666669</v>
      </c>
      <c r="L31" s="255"/>
      <c r="M31" s="255">
        <v>2051</v>
      </c>
      <c r="N31" s="311">
        <f t="shared" si="8"/>
        <v>343.46839884178189</v>
      </c>
      <c r="O31" s="311">
        <f t="shared" si="9"/>
        <v>0.47182304652267248</v>
      </c>
      <c r="P31" s="311">
        <f t="shared" si="10"/>
        <v>61.867503552992275</v>
      </c>
      <c r="Q31" s="311">
        <f t="shared" si="11"/>
        <v>281.12907224227092</v>
      </c>
      <c r="S31" s="182"/>
      <c r="T31" s="182"/>
      <c r="U31" s="182"/>
      <c r="V31" s="182"/>
      <c r="W31" s="182"/>
      <c r="X31" s="182"/>
      <c r="Y31" s="182"/>
      <c r="Z31" s="182"/>
    </row>
    <row r="32" spans="1:26" s="55" customFormat="1">
      <c r="A32" s="55">
        <v>2052</v>
      </c>
      <c r="B32" s="311">
        <f>'Crash Rates'!P35</f>
        <v>99830.193230378296</v>
      </c>
      <c r="C32" s="311">
        <f>'Crash Rates'!M35</f>
        <v>137.13688381155029</v>
      </c>
      <c r="D32" s="311">
        <f>'Crash Rates'!N35</f>
        <v>17981.988605657807</v>
      </c>
      <c r="E32" s="311">
        <f>'Crash Rates'!O35</f>
        <v>81711.06774090894</v>
      </c>
      <c r="F32" s="255"/>
      <c r="G32" s="255">
        <v>2052</v>
      </c>
      <c r="H32" s="311">
        <f>'Crash Rates'!V35</f>
        <v>99486.724831536514</v>
      </c>
      <c r="I32" s="311">
        <f>'Crash Rates'!S35</f>
        <v>136.66506076502762</v>
      </c>
      <c r="J32" s="311">
        <f>'Crash Rates'!T35</f>
        <v>17920.121102104815</v>
      </c>
      <c r="K32" s="311">
        <f>'Crash Rates'!U35</f>
        <v>81429.938668666669</v>
      </c>
      <c r="L32" s="255"/>
      <c r="M32" s="255">
        <v>2052</v>
      </c>
      <c r="N32" s="311">
        <f t="shared" si="8"/>
        <v>343.46839884178189</v>
      </c>
      <c r="O32" s="311">
        <f t="shared" si="9"/>
        <v>0.47182304652267248</v>
      </c>
      <c r="P32" s="311">
        <f t="shared" si="10"/>
        <v>61.867503552992275</v>
      </c>
      <c r="Q32" s="311">
        <f t="shared" si="11"/>
        <v>281.12907224227092</v>
      </c>
      <c r="S32" s="182"/>
      <c r="T32" s="182"/>
      <c r="U32" s="182"/>
      <c r="V32" s="182"/>
      <c r="W32" s="182"/>
      <c r="X32" s="182"/>
      <c r="Y32" s="182"/>
      <c r="Z32" s="182"/>
    </row>
    <row r="33" spans="1:26" s="55" customFormat="1">
      <c r="A33" s="55">
        <v>2053</v>
      </c>
      <c r="B33" s="311">
        <f>'Crash Rates'!P36</f>
        <v>99830.193230378296</v>
      </c>
      <c r="C33" s="311">
        <f>'Crash Rates'!M36</f>
        <v>137.13688381155029</v>
      </c>
      <c r="D33" s="311">
        <f>'Crash Rates'!N36</f>
        <v>17981.988605657807</v>
      </c>
      <c r="E33" s="311">
        <f>'Crash Rates'!O36</f>
        <v>81711.06774090894</v>
      </c>
      <c r="F33" s="255"/>
      <c r="G33" s="255">
        <v>2053</v>
      </c>
      <c r="H33" s="311">
        <f>'Crash Rates'!V36</f>
        <v>99486.724831536514</v>
      </c>
      <c r="I33" s="311">
        <f>'Crash Rates'!S36</f>
        <v>136.66506076502762</v>
      </c>
      <c r="J33" s="311">
        <f>'Crash Rates'!T36</f>
        <v>17920.121102104815</v>
      </c>
      <c r="K33" s="311">
        <f>'Crash Rates'!U36</f>
        <v>81429.938668666669</v>
      </c>
      <c r="L33" s="255"/>
      <c r="M33" s="255">
        <v>2053</v>
      </c>
      <c r="N33" s="311">
        <f t="shared" si="8"/>
        <v>343.46839884178189</v>
      </c>
      <c r="O33" s="311">
        <f t="shared" si="9"/>
        <v>0.47182304652267248</v>
      </c>
      <c r="P33" s="311">
        <f t="shared" si="10"/>
        <v>61.867503552992275</v>
      </c>
      <c r="Q33" s="311">
        <f t="shared" si="11"/>
        <v>281.12907224227092</v>
      </c>
      <c r="S33" s="182"/>
      <c r="T33" s="182"/>
      <c r="U33" s="182"/>
      <c r="V33" s="182"/>
      <c r="W33" s="182"/>
      <c r="X33" s="182"/>
      <c r="Y33" s="182"/>
      <c r="Z33" s="182"/>
    </row>
    <row r="34" spans="1:26" s="55" customFormat="1">
      <c r="A34" s="55">
        <v>2054</v>
      </c>
      <c r="B34" s="311">
        <f>'Crash Rates'!P37</f>
        <v>99830.193230378296</v>
      </c>
      <c r="C34" s="311">
        <f>'Crash Rates'!M37</f>
        <v>137.13688381155029</v>
      </c>
      <c r="D34" s="311">
        <f>'Crash Rates'!N37</f>
        <v>17981.988605657807</v>
      </c>
      <c r="E34" s="311">
        <f>'Crash Rates'!O37</f>
        <v>81711.06774090894</v>
      </c>
      <c r="F34" s="255"/>
      <c r="G34" s="255">
        <v>2054</v>
      </c>
      <c r="H34" s="311">
        <f>'Crash Rates'!V37</f>
        <v>99486.724831536514</v>
      </c>
      <c r="I34" s="311">
        <f>'Crash Rates'!S37</f>
        <v>136.66506076502762</v>
      </c>
      <c r="J34" s="311">
        <f>'Crash Rates'!T37</f>
        <v>17920.121102104815</v>
      </c>
      <c r="K34" s="311">
        <f>'Crash Rates'!U37</f>
        <v>81429.938668666669</v>
      </c>
      <c r="L34" s="255"/>
      <c r="M34" s="255">
        <v>2054</v>
      </c>
      <c r="N34" s="311">
        <f t="shared" si="8"/>
        <v>343.46839884178189</v>
      </c>
      <c r="O34" s="311">
        <f t="shared" si="9"/>
        <v>0.47182304652267248</v>
      </c>
      <c r="P34" s="311">
        <f t="shared" si="10"/>
        <v>61.867503552992275</v>
      </c>
      <c r="Q34" s="311">
        <f t="shared" si="11"/>
        <v>281.12907224227092</v>
      </c>
      <c r="S34" s="182"/>
      <c r="T34" s="182"/>
      <c r="U34" s="182"/>
      <c r="V34" s="182"/>
      <c r="W34" s="182"/>
      <c r="X34" s="182"/>
      <c r="Y34" s="182"/>
      <c r="Z34" s="182"/>
    </row>
    <row r="35" spans="1:26" s="55" customFormat="1">
      <c r="B35" s="311"/>
      <c r="C35" s="311"/>
      <c r="D35" s="311"/>
      <c r="E35" s="311"/>
      <c r="F35" s="255"/>
      <c r="G35" s="255"/>
      <c r="H35" s="311"/>
      <c r="I35" s="311"/>
      <c r="J35" s="311"/>
      <c r="K35" s="311"/>
      <c r="L35" s="255"/>
      <c r="M35" s="255"/>
      <c r="N35" s="311"/>
      <c r="O35" s="311"/>
      <c r="P35" s="311"/>
      <c r="Q35" s="311"/>
      <c r="S35" s="182"/>
      <c r="T35" s="182"/>
      <c r="U35" s="182"/>
      <c r="V35" s="182"/>
      <c r="W35" s="182"/>
      <c r="X35" s="182"/>
      <c r="Y35" s="182"/>
      <c r="Z35" s="182"/>
    </row>
    <row r="36" spans="1:26" s="55" customFormat="1">
      <c r="B36" s="311"/>
      <c r="C36" s="311"/>
      <c r="D36" s="311"/>
      <c r="E36" s="311"/>
      <c r="F36" s="255"/>
      <c r="G36" s="255"/>
      <c r="H36" s="311"/>
      <c r="I36" s="311"/>
      <c r="J36" s="311"/>
      <c r="K36" s="311"/>
      <c r="L36" s="255"/>
      <c r="M36" s="255"/>
      <c r="N36" s="311"/>
      <c r="O36" s="311"/>
      <c r="P36" s="311"/>
      <c r="Q36" s="311"/>
      <c r="S36" s="182"/>
      <c r="T36" s="182"/>
      <c r="U36" s="182"/>
      <c r="V36" s="182"/>
      <c r="W36" s="182"/>
      <c r="X36" s="182"/>
      <c r="Y36" s="182"/>
      <c r="Z36" s="182"/>
    </row>
    <row r="37" spans="1:26" s="55" customFormat="1">
      <c r="B37" s="311"/>
      <c r="C37" s="311"/>
      <c r="D37" s="311"/>
      <c r="E37" s="311"/>
      <c r="F37" s="255"/>
      <c r="G37" s="255"/>
      <c r="H37" s="311"/>
      <c r="I37" s="311"/>
      <c r="J37" s="311"/>
      <c r="K37" s="311"/>
      <c r="L37" s="255"/>
      <c r="M37" s="255"/>
      <c r="N37" s="311"/>
      <c r="O37" s="311"/>
      <c r="P37" s="311"/>
      <c r="Q37" s="311"/>
      <c r="S37" s="182"/>
      <c r="T37" s="182"/>
      <c r="U37" s="182"/>
      <c r="V37" s="182"/>
      <c r="W37" s="182"/>
      <c r="X37" s="182"/>
      <c r="Y37" s="182"/>
      <c r="Z37" s="182"/>
    </row>
    <row r="38" spans="1:26" s="55" customFormat="1">
      <c r="B38" s="311"/>
      <c r="C38" s="311"/>
      <c r="D38" s="311"/>
      <c r="E38" s="311"/>
      <c r="F38" s="255"/>
      <c r="G38" s="255"/>
      <c r="H38" s="311"/>
      <c r="I38" s="311"/>
      <c r="J38" s="311"/>
      <c r="K38" s="311"/>
      <c r="L38" s="255"/>
      <c r="M38" s="255"/>
      <c r="N38" s="311"/>
      <c r="O38" s="311"/>
      <c r="P38" s="311"/>
      <c r="Q38" s="311"/>
      <c r="S38" s="182"/>
      <c r="T38" s="182"/>
      <c r="U38" s="182"/>
      <c r="V38" s="182"/>
      <c r="W38" s="182"/>
      <c r="X38" s="182"/>
      <c r="Y38" s="182"/>
      <c r="Z38" s="182"/>
    </row>
    <row r="39" spans="1:26" s="55" customFormat="1">
      <c r="B39" s="255"/>
      <c r="C39" s="255"/>
      <c r="D39" s="255"/>
      <c r="E39" s="255"/>
      <c r="F39" s="255"/>
      <c r="G39" s="255"/>
      <c r="H39" s="255"/>
      <c r="I39" s="255"/>
      <c r="J39" s="255"/>
      <c r="K39" s="255"/>
      <c r="L39" s="255"/>
      <c r="M39" s="255"/>
      <c r="N39" s="255"/>
      <c r="O39" s="255"/>
      <c r="P39" s="255"/>
      <c r="Q39" s="255"/>
      <c r="S39" s="182"/>
      <c r="T39" s="182"/>
      <c r="U39" s="182"/>
      <c r="V39" s="182"/>
      <c r="W39" s="182"/>
      <c r="X39" s="182"/>
      <c r="Y39" s="182"/>
      <c r="Z39" s="182"/>
    </row>
    <row r="40" spans="1:26">
      <c r="S40" s="182"/>
      <c r="T40" s="182"/>
      <c r="U40" s="182"/>
      <c r="V40" s="182"/>
      <c r="W40" s="182"/>
      <c r="X40" s="182"/>
      <c r="Y40" s="182"/>
      <c r="Z40" s="182"/>
    </row>
    <row r="41" spans="1:26" s="1" customFormat="1" ht="43.2">
      <c r="A41" s="273" t="s">
        <v>233</v>
      </c>
      <c r="B41" s="280">
        <f>SUM(B9:B38)</f>
        <v>2522081.2306772573</v>
      </c>
      <c r="C41" s="280"/>
      <c r="D41" s="280"/>
      <c r="E41" s="280"/>
      <c r="F41" s="280"/>
      <c r="G41" s="280"/>
      <c r="H41" s="280"/>
      <c r="I41" s="280"/>
      <c r="J41" s="280"/>
      <c r="K41" s="280"/>
      <c r="L41" s="280"/>
      <c r="M41" s="280"/>
      <c r="N41" s="289">
        <f>SUM(N9:N38)</f>
        <v>7185.8049111163418</v>
      </c>
      <c r="O41" s="289">
        <f t="shared" ref="O41:P41" si="12">SUM(O9:O38)</f>
        <v>9.8711508142042277</v>
      </c>
      <c r="P41" s="289">
        <f t="shared" si="12"/>
        <v>1294.3485117371674</v>
      </c>
      <c r="Q41" s="289">
        <f>SUM(Q9:Q38)</f>
        <v>5881.5852485650394</v>
      </c>
    </row>
    <row r="44" spans="1:26" ht="21">
      <c r="A44" s="491" t="s">
        <v>49</v>
      </c>
      <c r="B44" s="491"/>
      <c r="C44" s="491"/>
      <c r="D44" s="491"/>
      <c r="E44" s="491"/>
      <c r="G44" s="490" t="s">
        <v>51</v>
      </c>
      <c r="H44" s="490"/>
      <c r="I44" s="490"/>
      <c r="J44" s="490"/>
      <c r="K44" s="490"/>
      <c r="M44" s="490" t="s">
        <v>112</v>
      </c>
      <c r="N44" s="490"/>
      <c r="O44" s="490"/>
      <c r="P44" s="490"/>
      <c r="Q44" s="490"/>
    </row>
    <row r="45" spans="1:26">
      <c r="A45" t="s">
        <v>1</v>
      </c>
      <c r="B45" s="265" t="s">
        <v>210</v>
      </c>
      <c r="C45" s="161" t="s">
        <v>45</v>
      </c>
      <c r="D45" s="161" t="s">
        <v>46</v>
      </c>
      <c r="E45" s="161" t="s">
        <v>47</v>
      </c>
      <c r="G45" s="161" t="s">
        <v>1</v>
      </c>
      <c r="H45" s="265" t="s">
        <v>210</v>
      </c>
      <c r="I45" s="161" t="s">
        <v>45</v>
      </c>
      <c r="J45" s="161" t="s">
        <v>46</v>
      </c>
      <c r="K45" s="161" t="s">
        <v>47</v>
      </c>
      <c r="M45" s="161" t="s">
        <v>1</v>
      </c>
      <c r="N45" s="265" t="s">
        <v>210</v>
      </c>
      <c r="O45" s="161" t="s">
        <v>45</v>
      </c>
      <c r="P45" s="161" t="s">
        <v>46</v>
      </c>
      <c r="Q45" s="161" t="s">
        <v>47</v>
      </c>
    </row>
    <row r="46" spans="1:26">
      <c r="A46">
        <v>2025</v>
      </c>
      <c r="B46" s="284">
        <f t="shared" ref="B46:B49" si="13">SUM(C46:E46)</f>
        <v>7243491407.2000484</v>
      </c>
      <c r="C46" s="284">
        <f>C5*'Default Values'!C$30</f>
        <v>1622628962.3473268</v>
      </c>
      <c r="D46" s="284">
        <f>D5*'Default Values'!C$29</f>
        <v>5015272269.4929209</v>
      </c>
      <c r="E46" s="284">
        <f>E5*'Default Values'!C$31</f>
        <v>605590175.3598007</v>
      </c>
      <c r="G46" s="161">
        <v>2025</v>
      </c>
      <c r="H46" s="284">
        <f t="shared" ref="H46:H49" si="14">SUM(I46:K46)</f>
        <v>7230870246.4309998</v>
      </c>
      <c r="I46" s="284">
        <f>I5*'Default Values'!C$30</f>
        <v>1619801670.9417012</v>
      </c>
      <c r="J46" s="284">
        <f>J5*'Default Values'!C$29</f>
        <v>5006533588.9236441</v>
      </c>
      <c r="K46" s="284">
        <f>K5*'Default Values'!C$31</f>
        <v>604534986.5656544</v>
      </c>
      <c r="M46" s="161">
        <v>2025</v>
      </c>
      <c r="N46" s="284">
        <f t="shared" ref="N46:N49" si="15">B46-H46</f>
        <v>12621160.769048691</v>
      </c>
      <c r="O46" s="284">
        <f t="shared" ref="O46:O49" si="16">C46-I46</f>
        <v>2827291.4056255817</v>
      </c>
      <c r="P46" s="284">
        <f t="shared" ref="P46:P49" si="17">D46-J46</f>
        <v>8738680.5692768097</v>
      </c>
      <c r="Q46" s="284">
        <f t="shared" ref="Q46:Q49" si="18">E46-K46</f>
        <v>1055188.7941462994</v>
      </c>
    </row>
    <row r="47" spans="1:26">
      <c r="A47">
        <v>2026</v>
      </c>
      <c r="B47" s="284">
        <f t="shared" si="13"/>
        <v>7267142692.2289829</v>
      </c>
      <c r="C47" s="284">
        <f>C6*'Default Values'!C$30</f>
        <v>1627927133.8957233</v>
      </c>
      <c r="D47" s="284">
        <f>D6*'Default Values'!C$29</f>
        <v>5031648023.5699644</v>
      </c>
      <c r="E47" s="284">
        <f>E6*'Default Values'!C$31</f>
        <v>607567534.76329505</v>
      </c>
      <c r="G47" s="161">
        <v>2026</v>
      </c>
      <c r="H47" s="284">
        <f t="shared" si="14"/>
        <v>7253984095.4648237</v>
      </c>
      <c r="I47" s="284">
        <f>I6*'Default Values'!C$30</f>
        <v>1624979450.3805401</v>
      </c>
      <c r="J47" s="284">
        <f>J6*'Default Values'!C$29</f>
        <v>5022537231.308773</v>
      </c>
      <c r="K47" s="284">
        <f>K6*'Default Values'!C$31</f>
        <v>606467413.77551079</v>
      </c>
      <c r="M47" s="161">
        <v>2026</v>
      </c>
      <c r="N47" s="284">
        <f t="shared" si="15"/>
        <v>13158596.764159203</v>
      </c>
      <c r="O47" s="284">
        <f t="shared" si="16"/>
        <v>2947683.5151832104</v>
      </c>
      <c r="P47" s="284">
        <f t="shared" si="17"/>
        <v>9110792.2611913681</v>
      </c>
      <c r="Q47" s="284">
        <f t="shared" si="18"/>
        <v>1100120.9877842665</v>
      </c>
    </row>
    <row r="48" spans="1:26">
      <c r="A48">
        <v>2027</v>
      </c>
      <c r="B48" s="284">
        <f t="shared" si="13"/>
        <v>7290872238.3980589</v>
      </c>
      <c r="C48" s="284">
        <f>C7*'Default Values'!C$30</f>
        <v>1633242836.8782694</v>
      </c>
      <c r="D48" s="284">
        <f>D7*'Default Values'!C$29</f>
        <v>5048077964.3511639</v>
      </c>
      <c r="E48" s="284">
        <f>E7*'Default Values'!C$31</f>
        <v>609551437.16862607</v>
      </c>
      <c r="G48" s="161">
        <v>2027</v>
      </c>
      <c r="H48" s="284">
        <f t="shared" si="14"/>
        <v>7277173044.5860748</v>
      </c>
      <c r="I48" s="284">
        <f>I7*'Default Values'!C$30</f>
        <v>1630174053.1398036</v>
      </c>
      <c r="J48" s="284">
        <f>J7*'Default Values'!C$29</f>
        <v>5038592871.73804</v>
      </c>
      <c r="K48" s="284">
        <f>K7*'Default Values'!C$31</f>
        <v>608406119.70823109</v>
      </c>
      <c r="M48" s="161">
        <v>2027</v>
      </c>
      <c r="N48" s="284">
        <f t="shared" si="15"/>
        <v>13699193.811984062</v>
      </c>
      <c r="O48" s="284">
        <f t="shared" si="16"/>
        <v>3068783.738465786</v>
      </c>
      <c r="P48" s="284">
        <f t="shared" si="17"/>
        <v>9485092.6131238937</v>
      </c>
      <c r="Q48" s="284">
        <f t="shared" si="18"/>
        <v>1145317.4603949785</v>
      </c>
    </row>
    <row r="49" spans="1:17">
      <c r="A49">
        <v>2028</v>
      </c>
      <c r="B49" s="284">
        <f t="shared" si="13"/>
        <v>7314680309.1719761</v>
      </c>
      <c r="C49" s="284">
        <f>C8*'Default Values'!C$30</f>
        <v>1638576130.3142183</v>
      </c>
      <c r="D49" s="284">
        <f>D8*'Default Values'!C$29</f>
        <v>5064562274.2550669</v>
      </c>
      <c r="E49" s="284">
        <f>E8*'Default Values'!C$31</f>
        <v>611541904.60269022</v>
      </c>
      <c r="G49" s="161">
        <v>2028</v>
      </c>
      <c r="H49" s="284">
        <f t="shared" si="14"/>
        <v>7300437343.1062012</v>
      </c>
      <c r="I49" s="284">
        <f>I8*'Default Values'!C$30</f>
        <v>1635385535.0682461</v>
      </c>
      <c r="J49" s="284">
        <f>J8*'Default Values'!C$29</f>
        <v>5054700682.8305225</v>
      </c>
      <c r="K49" s="284">
        <f>K8*'Default Values'!C$31</f>
        <v>610351125.2074331</v>
      </c>
      <c r="M49" s="161">
        <v>2028</v>
      </c>
      <c r="N49" s="284">
        <f t="shared" si="15"/>
        <v>14242966.065774918</v>
      </c>
      <c r="O49" s="284">
        <f t="shared" si="16"/>
        <v>3190595.2459721565</v>
      </c>
      <c r="P49" s="284">
        <f t="shared" si="17"/>
        <v>9861591.4245443344</v>
      </c>
      <c r="Q49" s="284">
        <f t="shared" si="18"/>
        <v>1190779.3952571154</v>
      </c>
    </row>
    <row r="50" spans="1:17" s="55" customFormat="1">
      <c r="A50" s="55">
        <v>2029</v>
      </c>
      <c r="B50" s="284">
        <f>SUM(C50:E50)</f>
        <v>7338567168.9216986</v>
      </c>
      <c r="C50" s="284">
        <f>C9*'Default Values'!C$30</f>
        <v>1643927073.4258375</v>
      </c>
      <c r="D50" s="284">
        <f>D9*'Default Values'!C$29</f>
        <v>5081101136.3277092</v>
      </c>
      <c r="E50" s="284">
        <f>E9*'Default Values'!C$31</f>
        <v>613538959.16815162</v>
      </c>
      <c r="F50" s="255"/>
      <c r="G50" s="255">
        <v>2029</v>
      </c>
      <c r="H50" s="284">
        <f>SUM(I50:K50)</f>
        <v>7323777241.1870441</v>
      </c>
      <c r="I50" s="284">
        <f>I9*'Default Values'!C$30</f>
        <v>1640613952.2051208</v>
      </c>
      <c r="J50" s="284">
        <f>J9*'Default Values'!C$29</f>
        <v>5070860837.7940922</v>
      </c>
      <c r="K50" s="284">
        <f>K9*'Default Values'!C$31</f>
        <v>612302451.18783081</v>
      </c>
      <c r="L50" s="255"/>
      <c r="M50" s="255">
        <v>2029</v>
      </c>
      <c r="N50" s="284">
        <f>B50-H50</f>
        <v>14789927.734654427</v>
      </c>
      <c r="O50" s="284">
        <f t="shared" ref="O50" si="19">C50-I50</f>
        <v>3313121.2207167149</v>
      </c>
      <c r="P50" s="284">
        <f t="shared" ref="P50" si="20">D50-J50</f>
        <v>10240298.53361702</v>
      </c>
      <c r="Q50" s="284">
        <f t="shared" ref="Q50" si="21">E50-K50</f>
        <v>1236507.9803208113</v>
      </c>
    </row>
    <row r="51" spans="1:17" s="55" customFormat="1">
      <c r="A51" s="55">
        <v>2030</v>
      </c>
      <c r="B51" s="284">
        <f>SUM(C51:E51)</f>
        <v>7362533082.9276514</v>
      </c>
      <c r="C51" s="284">
        <f>C10*'Default Values'!C$30</f>
        <v>1649295725.6391234</v>
      </c>
      <c r="D51" s="284">
        <f>D10*'Default Values'!C$29</f>
        <v>5097694734.2448177</v>
      </c>
      <c r="E51" s="284">
        <f>E10*'Default Values'!C$31</f>
        <v>615542623.04370975</v>
      </c>
      <c r="F51" s="255"/>
      <c r="G51" s="255">
        <v>2030</v>
      </c>
      <c r="H51" s="284">
        <f>SUM(I51:K51)</f>
        <v>7347192989.8438187</v>
      </c>
      <c r="I51" s="284">
        <f>I10*'Default Values'!C$30</f>
        <v>1645859360.7808473</v>
      </c>
      <c r="J51" s="284">
        <f>J10*'Default Values'!C$29</f>
        <v>5087073510.4274864</v>
      </c>
      <c r="K51" s="284">
        <f>K10*'Default Values'!C$31</f>
        <v>614260118.63548481</v>
      </c>
      <c r="L51" s="255"/>
      <c r="M51" s="255">
        <v>2030</v>
      </c>
      <c r="N51" s="284">
        <f t="shared" ref="N51:N69" si="22">B51-H51</f>
        <v>15340093.083832741</v>
      </c>
      <c r="O51" s="284">
        <f t="shared" ref="O51:O69" si="23">C51-I51</f>
        <v>3436364.8582761288</v>
      </c>
      <c r="P51" s="284">
        <f t="shared" ref="P51:P69" si="24">D51-J51</f>
        <v>10621223.817331314</v>
      </c>
      <c r="Q51" s="284">
        <f t="shared" ref="Q51:Q69" si="25">E51-K51</f>
        <v>1282504.4082249403</v>
      </c>
    </row>
    <row r="52" spans="1:17" s="55" customFormat="1">
      <c r="A52" s="55">
        <v>2031</v>
      </c>
      <c r="B52" s="284">
        <f t="shared" ref="B52:B69" si="26">SUM(C52:E52)</f>
        <v>7386578317.3829279</v>
      </c>
      <c r="C52" s="284">
        <f>C11*'Default Values'!C$30</f>
        <v>1654682146.5845234</v>
      </c>
      <c r="D52" s="284">
        <f>D11*'Default Values'!C$29</f>
        <v>5114343252.3140373</v>
      </c>
      <c r="E52" s="284">
        <f>E11*'Default Values'!C$31</f>
        <v>617552918.48436773</v>
      </c>
      <c r="F52" s="255"/>
      <c r="G52" s="255">
        <v>2031</v>
      </c>
      <c r="H52" s="284">
        <f t="shared" ref="H52:H69" si="27">SUM(I52:K52)</f>
        <v>7370684840.948143</v>
      </c>
      <c r="I52" s="284">
        <f>I11*'Default Values'!C$30</f>
        <v>1651121817.217689</v>
      </c>
      <c r="J52" s="284">
        <f>J11*'Default Values'!C$29</f>
        <v>5103338875.1223993</v>
      </c>
      <c r="K52" s="284">
        <f>K11*'Default Values'!C$31</f>
        <v>616224148.60805488</v>
      </c>
      <c r="L52" s="255"/>
      <c r="M52" s="255">
        <v>2031</v>
      </c>
      <c r="N52" s="284">
        <f t="shared" si="22"/>
        <v>15893476.434784889</v>
      </c>
      <c r="O52" s="284">
        <f t="shared" si="23"/>
        <v>3560329.3668344021</v>
      </c>
      <c r="P52" s="284">
        <f t="shared" si="24"/>
        <v>11004377.191637993</v>
      </c>
      <c r="Q52" s="284">
        <f t="shared" si="25"/>
        <v>1328769.8763128519</v>
      </c>
    </row>
    <row r="53" spans="1:17" s="55" customFormat="1">
      <c r="A53" s="55">
        <v>2032</v>
      </c>
      <c r="B53" s="284">
        <f t="shared" si="26"/>
        <v>7410703139.3965168</v>
      </c>
      <c r="C53" s="284">
        <f>C12*'Default Values'!C$30</f>
        <v>1660086396.0976536</v>
      </c>
      <c r="D53" s="284">
        <f>D12*'Default Values'!C$29</f>
        <v>5131046875.4771624</v>
      </c>
      <c r="E53" s="284">
        <f>E12*'Default Values'!C$31</f>
        <v>619569867.82170141</v>
      </c>
      <c r="F53" s="255"/>
      <c r="G53" s="255">
        <v>2032</v>
      </c>
      <c r="H53" s="284">
        <f t="shared" si="27"/>
        <v>7394253047.23104</v>
      </c>
      <c r="I53" s="284">
        <f>I12*'Default Values'!C$30</f>
        <v>1656401378.1304266</v>
      </c>
      <c r="J53" s="284">
        <f>J12*'Default Values'!C$29</f>
        <v>5119657106.8655624</v>
      </c>
      <c r="K53" s="284">
        <f>K12*'Default Values'!C$31</f>
        <v>618194562.23505092</v>
      </c>
      <c r="L53" s="255"/>
      <c r="M53" s="255">
        <v>2032</v>
      </c>
      <c r="N53" s="284">
        <f t="shared" si="22"/>
        <v>16450092.165476799</v>
      </c>
      <c r="O53" s="284">
        <f t="shared" si="23"/>
        <v>3685017.9672269821</v>
      </c>
      <c r="P53" s="284">
        <f t="shared" si="24"/>
        <v>11389768.611599922</v>
      </c>
      <c r="Q53" s="284">
        <f t="shared" si="25"/>
        <v>1375305.5866504908</v>
      </c>
    </row>
    <row r="54" spans="1:17" s="55" customFormat="1">
      <c r="A54" s="55">
        <v>2033</v>
      </c>
      <c r="B54" s="284">
        <f t="shared" si="26"/>
        <v>7434907816.9965334</v>
      </c>
      <c r="C54" s="284">
        <f>C13*'Default Values'!C$30</f>
        <v>1665508534.2200274</v>
      </c>
      <c r="D54" s="284">
        <f>D13*'Default Values'!C$29</f>
        <v>5147805789.312377</v>
      </c>
      <c r="E54" s="284">
        <f>E13*'Default Values'!C$31</f>
        <v>621593493.46412981</v>
      </c>
      <c r="F54" s="255"/>
      <c r="G54" s="255">
        <v>2033</v>
      </c>
      <c r="H54" s="284">
        <f t="shared" si="27"/>
        <v>7417897862.2859726</v>
      </c>
      <c r="I54" s="284">
        <f>I13*'Default Values'!C$30</f>
        <v>1661698100.327038</v>
      </c>
      <c r="J54" s="284">
        <f>J13*'Default Values'!C$29</f>
        <v>5136028381.2408476</v>
      </c>
      <c r="K54" s="284">
        <f>K13*'Default Values'!C$31</f>
        <v>620171380.71808696</v>
      </c>
      <c r="L54" s="255"/>
      <c r="M54" s="255">
        <v>2033</v>
      </c>
      <c r="N54" s="284">
        <f t="shared" si="22"/>
        <v>17009954.710560799</v>
      </c>
      <c r="O54" s="284">
        <f t="shared" si="23"/>
        <v>3810433.892989397</v>
      </c>
      <c r="P54" s="284">
        <f t="shared" si="24"/>
        <v>11777408.071529388</v>
      </c>
      <c r="Q54" s="284">
        <f t="shared" si="25"/>
        <v>1422112.7460428476</v>
      </c>
    </row>
    <row r="55" spans="1:17" s="55" customFormat="1">
      <c r="A55" s="55">
        <v>2034</v>
      </c>
      <c r="B55" s="284">
        <f t="shared" si="26"/>
        <v>7459192619.133462</v>
      </c>
      <c r="C55" s="284">
        <f>C14*'Default Values'!C$30</f>
        <v>1670948621.1997795</v>
      </c>
      <c r="D55" s="284">
        <f>D14*'Default Values'!C$29</f>
        <v>5164620180.0364952</v>
      </c>
      <c r="E55" s="284">
        <f>E14*'Default Values'!C$31</f>
        <v>623623817.89718747</v>
      </c>
      <c r="F55" s="255"/>
      <c r="G55" s="255">
        <v>2034</v>
      </c>
      <c r="H55" s="284">
        <f t="shared" si="27"/>
        <v>7441619540.5718813</v>
      </c>
      <c r="I55" s="284">
        <f>I14*'Default Values'!C$30</f>
        <v>1667012040.8093777</v>
      </c>
      <c r="J55" s="284">
        <f>J14*'Default Values'!C$29</f>
        <v>5152452874.4313679</v>
      </c>
      <c r="K55" s="284">
        <f>K14*'Default Values'!C$31</f>
        <v>622154625.33113551</v>
      </c>
      <c r="L55" s="255"/>
      <c r="M55" s="255">
        <v>2034</v>
      </c>
      <c r="N55" s="284">
        <f t="shared" si="22"/>
        <v>17573078.561580658</v>
      </c>
      <c r="O55" s="284">
        <f t="shared" si="23"/>
        <v>3936580.3904018402</v>
      </c>
      <c r="P55" s="284">
        <f t="shared" si="24"/>
        <v>12167305.605127335</v>
      </c>
      <c r="Q55" s="284">
        <f t="shared" si="25"/>
        <v>1469192.56605196</v>
      </c>
    </row>
    <row r="56" spans="1:17" s="55" customFormat="1">
      <c r="A56" s="55">
        <v>2035</v>
      </c>
      <c r="B56" s="284">
        <f t="shared" si="26"/>
        <v>7483557815.6834173</v>
      </c>
      <c r="C56" s="284">
        <f>C15*'Default Values'!C$30</f>
        <v>1676406717.4923966</v>
      </c>
      <c r="D56" s="284">
        <f>D15*'Default Values'!C$29</f>
        <v>5181490234.507226</v>
      </c>
      <c r="E56" s="284">
        <f>E15*'Default Values'!C$31</f>
        <v>625660863.68379474</v>
      </c>
      <c r="F56" s="255"/>
      <c r="G56" s="255">
        <v>2035</v>
      </c>
      <c r="H56" s="284">
        <f t="shared" si="27"/>
        <v>7465418337.4162397</v>
      </c>
      <c r="I56" s="284">
        <f>I15*'Default Values'!C$30</f>
        <v>1672343256.7738631</v>
      </c>
      <c r="J56" s="284">
        <f>J15*'Default Values'!C$29</f>
        <v>5168930763.2215948</v>
      </c>
      <c r="K56" s="284">
        <f>K15*'Default Values'!C$31</f>
        <v>624144317.42078185</v>
      </c>
      <c r="L56" s="255"/>
      <c r="M56" s="255">
        <v>2035</v>
      </c>
      <c r="N56" s="284">
        <f t="shared" si="22"/>
        <v>18139478.267177582</v>
      </c>
      <c r="O56" s="284">
        <f t="shared" si="23"/>
        <v>4063460.7185335159</v>
      </c>
      <c r="P56" s="284">
        <f t="shared" si="24"/>
        <v>12559471.28563118</v>
      </c>
      <c r="Q56" s="284">
        <f t="shared" si="25"/>
        <v>1516546.263012886</v>
      </c>
    </row>
    <row r="57" spans="1:17" s="55" customFormat="1">
      <c r="A57" s="55">
        <v>2036</v>
      </c>
      <c r="B57" s="284">
        <f t="shared" si="26"/>
        <v>7508003677.4514122</v>
      </c>
      <c r="C57" s="284">
        <f>C16*'Default Values'!C$30</f>
        <v>1681882883.7614501</v>
      </c>
      <c r="D57" s="284">
        <f>D16*'Default Values'!C$29</f>
        <v>5198416140.2254295</v>
      </c>
      <c r="E57" s="284">
        <f>E16*'Default Values'!C$31</f>
        <v>627704653.46453321</v>
      </c>
      <c r="F57" s="255"/>
      <c r="G57" s="255">
        <v>2036</v>
      </c>
      <c r="H57" s="284">
        <f t="shared" si="27"/>
        <v>7489294509.0181141</v>
      </c>
      <c r="I57" s="284">
        <f>I16*'Default Values'!C$30</f>
        <v>1677691805.6121576</v>
      </c>
      <c r="J57" s="284">
        <f>J16*'Default Values'!C$29</f>
        <v>5185462224.9994755</v>
      </c>
      <c r="K57" s="284">
        <f>K16*'Default Values'!C$31</f>
        <v>626140478.40648103</v>
      </c>
      <c r="L57" s="255"/>
      <c r="M57" s="255">
        <v>2036</v>
      </c>
      <c r="N57" s="284">
        <f t="shared" si="22"/>
        <v>18709168.433298111</v>
      </c>
      <c r="O57" s="284">
        <f t="shared" si="23"/>
        <v>4191078.149292469</v>
      </c>
      <c r="P57" s="284">
        <f t="shared" si="24"/>
        <v>12953915.225954056</v>
      </c>
      <c r="Q57" s="284">
        <f t="shared" si="25"/>
        <v>1564175.0580521822</v>
      </c>
    </row>
    <row r="58" spans="1:17" s="55" customFormat="1">
      <c r="A58" s="55">
        <v>2037</v>
      </c>
      <c r="B58" s="284">
        <f t="shared" si="26"/>
        <v>7532530476.1746445</v>
      </c>
      <c r="C58" s="284">
        <f>C17*'Default Values'!C$30</f>
        <v>1687377180.8793314</v>
      </c>
      <c r="D58" s="284">
        <f>D17*'Default Values'!C$29</f>
        <v>5215398085.3373938</v>
      </c>
      <c r="E58" s="284">
        <f>E17*'Default Values'!C$31</f>
        <v>629755209.95791864</v>
      </c>
      <c r="F58" s="255"/>
      <c r="G58" s="255">
        <v>2037</v>
      </c>
      <c r="H58" s="284">
        <f t="shared" si="27"/>
        <v>7513248312.4512377</v>
      </c>
      <c r="I58" s="284">
        <f>I17*'Default Values'!C$30</f>
        <v>1683057744.9118609</v>
      </c>
      <c r="J58" s="284">
        <f>J17*'Default Values'!C$29</f>
        <v>5202047437.7585621</v>
      </c>
      <c r="K58" s="284">
        <f>K17*'Default Values'!C$31</f>
        <v>628143129.78081405</v>
      </c>
      <c r="L58" s="255"/>
      <c r="M58" s="255">
        <v>2037</v>
      </c>
      <c r="N58" s="284">
        <f t="shared" si="22"/>
        <v>19282163.723406792</v>
      </c>
      <c r="O58" s="284">
        <f t="shared" si="23"/>
        <v>4319435.9674704075</v>
      </c>
      <c r="P58" s="284">
        <f t="shared" si="24"/>
        <v>13350647.578831673</v>
      </c>
      <c r="Q58" s="284">
        <f t="shared" si="25"/>
        <v>1612080.1771045923</v>
      </c>
    </row>
    <row r="59" spans="1:17" s="55" customFormat="1">
      <c r="A59" s="55">
        <v>2038</v>
      </c>
      <c r="B59" s="284">
        <f t="shared" si="26"/>
        <v>7557138484.5257721</v>
      </c>
      <c r="C59" s="284">
        <f>C18*'Default Values'!C$30</f>
        <v>1692889669.9279878</v>
      </c>
      <c r="D59" s="284">
        <f>D18*'Default Values'!C$29</f>
        <v>5232436258.6371078</v>
      </c>
      <c r="E59" s="284">
        <f>E18*'Default Values'!C$31</f>
        <v>631812555.96067667</v>
      </c>
      <c r="F59" s="255"/>
      <c r="G59" s="255">
        <v>2038</v>
      </c>
      <c r="H59" s="284">
        <f t="shared" si="27"/>
        <v>7537280005.6670904</v>
      </c>
      <c r="I59" s="284">
        <f>I18*'Default Values'!C$30</f>
        <v>1688441132.4571998</v>
      </c>
      <c r="J59" s="284">
        <f>J18*'Default Values'!C$29</f>
        <v>5218686580.1001444</v>
      </c>
      <c r="K59" s="284">
        <f>K18*'Default Values'!C$31</f>
        <v>630152293.1097461</v>
      </c>
      <c r="L59" s="255"/>
      <c r="M59" s="255">
        <v>2038</v>
      </c>
      <c r="N59" s="284">
        <f t="shared" si="22"/>
        <v>19858478.858681679</v>
      </c>
      <c r="O59" s="284">
        <f t="shared" si="23"/>
        <v>4448537.470788002</v>
      </c>
      <c r="P59" s="284">
        <f t="shared" si="24"/>
        <v>13749678.536963463</v>
      </c>
      <c r="Q59" s="284">
        <f t="shared" si="25"/>
        <v>1660262.8509305716</v>
      </c>
    </row>
    <row r="60" spans="1:17" s="55" customFormat="1">
      <c r="A60" s="55">
        <v>2039</v>
      </c>
      <c r="B60" s="284">
        <f t="shared" si="26"/>
        <v>7581827976.1162453</v>
      </c>
      <c r="C60" s="284">
        <f>C19*'Default Values'!C$30</f>
        <v>1698420412.1996648</v>
      </c>
      <c r="D60" s="284">
        <f>D19*'Default Values'!C$29</f>
        <v>5249530849.5685606</v>
      </c>
      <c r="E60" s="284">
        <f>E19*'Default Values'!C$31</f>
        <v>633876714.34801972</v>
      </c>
      <c r="F60" s="255"/>
      <c r="G60" s="255">
        <v>2039</v>
      </c>
      <c r="H60" s="284">
        <f t="shared" si="27"/>
        <v>7561389847.4980059</v>
      </c>
      <c r="I60" s="284">
        <f>I19*'Default Values'!C$30</f>
        <v>1693842026.2297211</v>
      </c>
      <c r="J60" s="284">
        <f>J19*'Default Values'!C$29</f>
        <v>5235379831.2353992</v>
      </c>
      <c r="K60" s="284">
        <f>K19*'Default Values'!C$31</f>
        <v>632167990.03288591</v>
      </c>
      <c r="L60" s="255"/>
      <c r="M60" s="255">
        <v>2039</v>
      </c>
      <c r="N60" s="284">
        <f t="shared" si="22"/>
        <v>20438128.618239403</v>
      </c>
      <c r="O60" s="284">
        <f t="shared" si="23"/>
        <v>4578385.9699437618</v>
      </c>
      <c r="P60" s="284">
        <f t="shared" si="24"/>
        <v>14151018.333161354</v>
      </c>
      <c r="Q60" s="284">
        <f t="shared" si="25"/>
        <v>1708724.31513381</v>
      </c>
    </row>
    <row r="61" spans="1:17" s="55" customFormat="1">
      <c r="A61" s="55">
        <v>2040</v>
      </c>
      <c r="B61" s="284">
        <f t="shared" si="26"/>
        <v>7606599225.4995995</v>
      </c>
      <c r="C61" s="284">
        <f>C20*'Default Values'!C$30</f>
        <v>1703969469.1976488</v>
      </c>
      <c r="D61" s="284">
        <f>D20*'Default Values'!C$29</f>
        <v>5266682048.2280273</v>
      </c>
      <c r="E61" s="284">
        <f>E20*'Default Values'!C$31</f>
        <v>635947708.07392311</v>
      </c>
      <c r="F61" s="255"/>
      <c r="G61" s="255">
        <v>2040</v>
      </c>
      <c r="H61" s="284">
        <f t="shared" si="27"/>
        <v>7585578097.6602716</v>
      </c>
      <c r="I61" s="284">
        <f>I20*'Default Values'!C$30</f>
        <v>1699260484.4089882</v>
      </c>
      <c r="J61" s="284">
        <f>J20*'Default Values'!C$29</f>
        <v>5252127370.9875393</v>
      </c>
      <c r="K61" s="284">
        <f>K20*'Default Values'!C$31</f>
        <v>634190242.26374412</v>
      </c>
      <c r="L61" s="255"/>
      <c r="M61" s="255">
        <v>2040</v>
      </c>
      <c r="N61" s="284">
        <f t="shared" si="22"/>
        <v>21021127.839327812</v>
      </c>
      <c r="O61" s="284">
        <f t="shared" si="23"/>
        <v>4708984.7886605263</v>
      </c>
      <c r="P61" s="284">
        <f t="shared" si="24"/>
        <v>14554677.240488052</v>
      </c>
      <c r="Q61" s="284">
        <f t="shared" si="25"/>
        <v>1757465.8101789951</v>
      </c>
    </row>
    <row r="62" spans="1:17" s="55" customFormat="1">
      <c r="A62" s="55">
        <v>2041</v>
      </c>
      <c r="B62" s="284">
        <f t="shared" si="26"/>
        <v>7631452508.1747961</v>
      </c>
      <c r="C62" s="284">
        <f>C21*'Default Values'!C$30</f>
        <v>1709536902.6370111</v>
      </c>
      <c r="D62" s="284">
        <f>D21*'Default Values'!C$29</f>
        <v>5283890045.3663807</v>
      </c>
      <c r="E62" s="284">
        <f>E21*'Default Values'!C$31</f>
        <v>638025560.17140448</v>
      </c>
      <c r="F62" s="255"/>
      <c r="G62" s="255">
        <v>2041</v>
      </c>
      <c r="H62" s="284">
        <f t="shared" si="27"/>
        <v>7609845016.7572489</v>
      </c>
      <c r="I62" s="284">
        <f>I21*'Default Values'!C$30</f>
        <v>1704696565.3732803</v>
      </c>
      <c r="J62" s="284">
        <f>J21*'Default Values'!C$29</f>
        <v>5268929379.793972</v>
      </c>
      <c r="K62" s="284">
        <f>K21*'Default Values'!C$31</f>
        <v>636219071.58999598</v>
      </c>
      <c r="L62" s="255"/>
      <c r="M62" s="255">
        <v>2041</v>
      </c>
      <c r="N62" s="284">
        <f t="shared" si="22"/>
        <v>21607491.417547226</v>
      </c>
      <c r="O62" s="284">
        <f t="shared" si="23"/>
        <v>4840337.2637307644</v>
      </c>
      <c r="P62" s="284">
        <f t="shared" si="24"/>
        <v>14960665.572408676</v>
      </c>
      <c r="Q62" s="284">
        <f t="shared" si="25"/>
        <v>1806488.5814085007</v>
      </c>
    </row>
    <row r="63" spans="1:17" s="55" customFormat="1">
      <c r="A63" s="55">
        <v>2042</v>
      </c>
      <c r="B63" s="284">
        <f t="shared" si="26"/>
        <v>7656388100.5895643</v>
      </c>
      <c r="C63" s="284">
        <f>C22*'Default Values'!C$30</f>
        <v>1715122774.4453592</v>
      </c>
      <c r="D63" s="284">
        <f>D22*'Default Values'!C$29</f>
        <v>5301155032.3914022</v>
      </c>
      <c r="E63" s="284">
        <f>E22*'Default Values'!C$31</f>
        <v>640110293.75280273</v>
      </c>
      <c r="F63" s="255"/>
      <c r="G63" s="255">
        <v>2042</v>
      </c>
      <c r="H63" s="284">
        <f t="shared" si="27"/>
        <v>7634190866.2825022</v>
      </c>
      <c r="I63" s="284">
        <f>I22*'Default Values'!C$30</f>
        <v>1710150327.7002928</v>
      </c>
      <c r="J63" s="284">
        <f>J22*'Default Values'!C$29</f>
        <v>5285786038.7084684</v>
      </c>
      <c r="K63" s="284">
        <f>K22*'Default Values'!C$31</f>
        <v>638254499.87374127</v>
      </c>
      <c r="L63" s="255"/>
      <c r="M63" s="255">
        <v>2042</v>
      </c>
      <c r="N63" s="284">
        <f t="shared" si="22"/>
        <v>22197234.307062149</v>
      </c>
      <c r="O63" s="284">
        <f t="shared" si="23"/>
        <v>4972446.7450664043</v>
      </c>
      <c r="P63" s="284">
        <f t="shared" si="24"/>
        <v>15368993.682933807</v>
      </c>
      <c r="Q63" s="284">
        <f t="shared" si="25"/>
        <v>1855793.8790614605</v>
      </c>
    </row>
    <row r="64" spans="1:17" s="55" customFormat="1">
      <c r="A64" s="55">
        <v>2043</v>
      </c>
      <c r="B64" s="284">
        <f t="shared" si="26"/>
        <v>7681406280.1437492</v>
      </c>
      <c r="C64" s="284">
        <f>C23*'Default Values'!C$30</f>
        <v>1720727146.763586</v>
      </c>
      <c r="D64" s="284">
        <f>D23*'Default Values'!C$29</f>
        <v>5318477201.3701048</v>
      </c>
      <c r="E64" s="284">
        <f>E23*'Default Values'!C$31</f>
        <v>642201932.01005852</v>
      </c>
      <c r="F64" s="255"/>
      <c r="G64" s="255">
        <v>2043</v>
      </c>
      <c r="H64" s="284">
        <f t="shared" si="27"/>
        <v>7658615908.6229439</v>
      </c>
      <c r="I64" s="284">
        <f>I23*'Default Values'!C$30</f>
        <v>1715621830.167841</v>
      </c>
      <c r="J64" s="284">
        <f>J23*'Default Values'!C$29</f>
        <v>5302697529.4033346</v>
      </c>
      <c r="K64" s="284">
        <f>K23*'Default Values'!C$31</f>
        <v>640296549.05176818</v>
      </c>
      <c r="L64" s="255"/>
      <c r="M64" s="255">
        <v>2043</v>
      </c>
      <c r="N64" s="284">
        <f t="shared" si="22"/>
        <v>22790371.520805359</v>
      </c>
      <c r="O64" s="284">
        <f t="shared" si="23"/>
        <v>5105316.5957450867</v>
      </c>
      <c r="P64" s="284">
        <f t="shared" si="24"/>
        <v>15779671.966770172</v>
      </c>
      <c r="Q64" s="284">
        <f t="shared" si="25"/>
        <v>1905382.9582903385</v>
      </c>
    </row>
    <row r="65" spans="1:17" s="55" customFormat="1">
      <c r="A65" s="55">
        <v>2044</v>
      </c>
      <c r="B65" s="284">
        <f t="shared" si="26"/>
        <v>7706507325.1926775</v>
      </c>
      <c r="C65" s="284">
        <f>C24*'Default Values'!C$30</f>
        <v>1726350081.9466238</v>
      </c>
      <c r="D65" s="284">
        <f>D24*'Default Values'!C$29</f>
        <v>5335856745.0310593</v>
      </c>
      <c r="E65" s="284">
        <f>E24*'Default Values'!C$31</f>
        <v>644300498.21499455</v>
      </c>
      <c r="F65" s="255"/>
      <c r="G65" s="255">
        <v>2044</v>
      </c>
      <c r="H65" s="284">
        <f t="shared" si="27"/>
        <v>7683120407.0619822</v>
      </c>
      <c r="I65" s="284">
        <f>I24*'Default Values'!C$30</f>
        <v>1721111131.7545671</v>
      </c>
      <c r="J65" s="284">
        <f>J24*'Default Values'!C$29</f>
        <v>5319664034.1715984</v>
      </c>
      <c r="K65" s="284">
        <f>K24*'Default Values'!C$31</f>
        <v>642345241.13581645</v>
      </c>
      <c r="L65" s="255"/>
      <c r="M65" s="255">
        <v>2044</v>
      </c>
      <c r="N65" s="284">
        <f t="shared" si="22"/>
        <v>23386918.130695343</v>
      </c>
      <c r="O65" s="284">
        <f t="shared" si="23"/>
        <v>5238950.1920566559</v>
      </c>
      <c r="P65" s="284">
        <f t="shared" si="24"/>
        <v>16192710.859460831</v>
      </c>
      <c r="Q65" s="284">
        <f t="shared" si="25"/>
        <v>1955257.0791780949</v>
      </c>
    </row>
    <row r="66" spans="1:17" s="55" customFormat="1">
      <c r="A66" s="55">
        <v>2045</v>
      </c>
      <c r="B66" s="284">
        <f t="shared" si="26"/>
        <v>7731691515.0505419</v>
      </c>
      <c r="C66" s="284">
        <f>C25*'Default Values'!C$30</f>
        <v>1731991642.5642018</v>
      </c>
      <c r="D66" s="284">
        <f>D25*'Default Values'!C$29</f>
        <v>5353293856.7667408</v>
      </c>
      <c r="E66" s="284">
        <f>E25*'Default Values'!C$31</f>
        <v>646406015.71959996</v>
      </c>
      <c r="F66" s="255"/>
      <c r="G66" s="255">
        <v>2045</v>
      </c>
      <c r="H66" s="284">
        <f t="shared" si="27"/>
        <v>7707704625.782691</v>
      </c>
      <c r="I66" s="284">
        <f>I25*'Default Values'!C$30</f>
        <v>1726618291.6406479</v>
      </c>
      <c r="J66" s="284">
        <f>J25*'Default Values'!C$29</f>
        <v>5336685735.9292021</v>
      </c>
      <c r="K66" s="284">
        <f>K25*'Default Values'!C$31</f>
        <v>644400598.21284139</v>
      </c>
      <c r="L66" s="255"/>
      <c r="M66" s="255">
        <v>2045</v>
      </c>
      <c r="N66" s="284">
        <f t="shared" si="22"/>
        <v>23986889.267850876</v>
      </c>
      <c r="O66" s="284">
        <f t="shared" si="23"/>
        <v>5373350.9235539436</v>
      </c>
      <c r="P66" s="284">
        <f t="shared" si="24"/>
        <v>16608120.837538719</v>
      </c>
      <c r="Q66" s="284">
        <f t="shared" si="25"/>
        <v>2005417.5067585707</v>
      </c>
    </row>
    <row r="67" spans="1:17" s="55" customFormat="1">
      <c r="A67" s="55">
        <v>2046</v>
      </c>
      <c r="B67" s="284">
        <f t="shared" si="26"/>
        <v>7756959129.9937859</v>
      </c>
      <c r="C67" s="284">
        <f>C26*'Default Values'!C$30</f>
        <v>1737651891.4016051</v>
      </c>
      <c r="D67" s="284">
        <f>D26*'Default Values'!C$29</f>
        <v>5370788730.6358681</v>
      </c>
      <c r="E67" s="284">
        <f>E26*'Default Values'!C$31</f>
        <v>648518507.95631218</v>
      </c>
      <c r="F67" s="255"/>
      <c r="G67" s="255">
        <v>2046</v>
      </c>
      <c r="H67" s="284">
        <f t="shared" si="27"/>
        <v>7732368829.8709898</v>
      </c>
      <c r="I67" s="284">
        <f>I26*'Default Values'!C$30</f>
        <v>1732143369.2085094</v>
      </c>
      <c r="J67" s="284">
        <f>J26*'Default Values'!C$29</f>
        <v>5353762818.2171993</v>
      </c>
      <c r="K67" s="284">
        <f>K26*'Default Values'!C$31</f>
        <v>646462642.44528091</v>
      </c>
      <c r="L67" s="255"/>
      <c r="M67" s="255">
        <v>2046</v>
      </c>
      <c r="N67" s="284">
        <f t="shared" si="22"/>
        <v>24590300.122796059</v>
      </c>
      <c r="O67" s="284">
        <f t="shared" si="23"/>
        <v>5508522.1930956841</v>
      </c>
      <c r="P67" s="284">
        <f t="shared" si="24"/>
        <v>17025912.418668747</v>
      </c>
      <c r="Q67" s="284">
        <f t="shared" si="25"/>
        <v>2055865.51103127</v>
      </c>
    </row>
    <row r="68" spans="1:17" s="55" customFormat="1">
      <c r="A68" s="55">
        <v>2047</v>
      </c>
      <c r="B68" s="284">
        <f t="shared" si="26"/>
        <v>7782310451.2645035</v>
      </c>
      <c r="C68" s="284">
        <f>C27*'Default Values'!C$30</f>
        <v>1743330891.4604375</v>
      </c>
      <c r="D68" s="284">
        <f>D27*'Default Values'!C$29</f>
        <v>5388341561.3657637</v>
      </c>
      <c r="E68" s="284">
        <f>E27*'Default Values'!C$31</f>
        <v>650637998.43830228</v>
      </c>
      <c r="F68" s="255"/>
      <c r="G68" s="255">
        <v>2047</v>
      </c>
      <c r="H68" s="284">
        <f t="shared" si="27"/>
        <v>7757113285.3188181</v>
      </c>
      <c r="I68" s="284">
        <f>I27*'Default Values'!C$30</f>
        <v>1737686424.0435367</v>
      </c>
      <c r="J68" s="284">
        <f>J27*'Default Values'!C$29</f>
        <v>5370895465.2039604</v>
      </c>
      <c r="K68" s="284">
        <f>K27*'Default Values'!C$31</f>
        <v>648531396.07132065</v>
      </c>
      <c r="L68" s="255"/>
      <c r="M68" s="255">
        <v>2047</v>
      </c>
      <c r="N68" s="284">
        <f t="shared" si="22"/>
        <v>25197165.945685387</v>
      </c>
      <c r="O68" s="284">
        <f t="shared" si="23"/>
        <v>5644467.4169008732</v>
      </c>
      <c r="P68" s="284">
        <f t="shared" si="24"/>
        <v>17446096.161803246</v>
      </c>
      <c r="Q68" s="284">
        <f t="shared" si="25"/>
        <v>2106602.3669816256</v>
      </c>
    </row>
    <row r="69" spans="1:17" s="55" customFormat="1">
      <c r="A69" s="55">
        <v>2048</v>
      </c>
      <c r="B69" s="284">
        <f t="shared" si="26"/>
        <v>7807745761.073864</v>
      </c>
      <c r="C69" s="284">
        <f>C28*'Default Values'!C$30</f>
        <v>1749028705.9593847</v>
      </c>
      <c r="D69" s="284">
        <f>D28*'Default Values'!C$29</f>
        <v>5405952544.3547192</v>
      </c>
      <c r="E69" s="284">
        <f>E28*'Default Values'!C$31</f>
        <v>652764510.75975955</v>
      </c>
      <c r="F69" s="255"/>
      <c r="G69" s="255">
        <v>2048</v>
      </c>
      <c r="H69" s="284">
        <f t="shared" si="27"/>
        <v>7781938259.0273504</v>
      </c>
      <c r="I69" s="284">
        <f>I28*'Default Values'!C$30</f>
        <v>1743247515.9347947</v>
      </c>
      <c r="J69" s="284">
        <f>J28*'Default Values'!C$29</f>
        <v>5388083861.6873932</v>
      </c>
      <c r="K69" s="284">
        <f>K28*'Default Values'!C$31</f>
        <v>650606881.40516245</v>
      </c>
      <c r="L69" s="255"/>
      <c r="M69" s="255">
        <v>2048</v>
      </c>
      <c r="N69" s="284">
        <f t="shared" si="22"/>
        <v>25807502.046513557</v>
      </c>
      <c r="O69" s="284">
        <f t="shared" si="23"/>
        <v>5781190.0245900154</v>
      </c>
      <c r="P69" s="284">
        <f t="shared" si="24"/>
        <v>17868682.667325974</v>
      </c>
      <c r="Q69" s="284">
        <f t="shared" si="25"/>
        <v>2157629.3545970917</v>
      </c>
    </row>
    <row r="70" spans="1:17" s="55" customFormat="1">
      <c r="A70" s="55">
        <v>2049</v>
      </c>
      <c r="B70" s="284">
        <f t="shared" ref="B70:B75" si="28">SUM(C70:E70)</f>
        <v>7833265342.6055269</v>
      </c>
      <c r="C70" s="284">
        <f>C29*'Default Values'!C$30</f>
        <v>1754745398.3349843</v>
      </c>
      <c r="D70" s="284">
        <f>D29*'Default Values'!C$29</f>
        <v>5423621875.6743641</v>
      </c>
      <c r="E70" s="284">
        <f>E29*'Default Values'!C$31</f>
        <v>654898068.59617913</v>
      </c>
      <c r="F70" s="255"/>
      <c r="G70" s="255">
        <v>2049</v>
      </c>
      <c r="H70" s="284">
        <f t="shared" ref="H70:H75" si="29">SUM(I70:K70)</f>
        <v>7806844018.8101959</v>
      </c>
      <c r="I70" s="284">
        <f>I29*'Default Values'!C$30</f>
        <v>1748826704.8757439</v>
      </c>
      <c r="J70" s="284">
        <f>J29*'Default Values'!C$29</f>
        <v>5405328193.0971603</v>
      </c>
      <c r="K70" s="284">
        <f>K29*'Default Values'!C$31</f>
        <v>652689120.83729196</v>
      </c>
      <c r="L70" s="255"/>
      <c r="M70" s="255">
        <v>2049</v>
      </c>
      <c r="N70" s="284">
        <f t="shared" ref="N70:N75" si="30">B70-H70</f>
        <v>26421323.795331001</v>
      </c>
      <c r="O70" s="284">
        <f t="shared" ref="O70:O75" si="31">C70-I70</f>
        <v>5918693.4592404366</v>
      </c>
      <c r="P70" s="284">
        <f t="shared" ref="P70:P75" si="32">D70-J70</f>
        <v>18293682.577203751</v>
      </c>
      <c r="Q70" s="284">
        <f t="shared" ref="Q70:Q75" si="33">E70-K70</f>
        <v>2208947.7588871717</v>
      </c>
    </row>
    <row r="71" spans="1:17" s="55" customFormat="1">
      <c r="A71" s="55">
        <v>2050</v>
      </c>
      <c r="B71" s="284">
        <f t="shared" si="28"/>
        <v>7858869480.0190964</v>
      </c>
      <c r="C71" s="284">
        <f>C30*'Default Values'!C$30</f>
        <v>1760481032.2423956</v>
      </c>
      <c r="D71" s="284">
        <f>D30*'Default Values'!C$29</f>
        <v>5441349752.072052</v>
      </c>
      <c r="E71" s="284">
        <f>E30*'Default Values'!C$31</f>
        <v>657038695.70464873</v>
      </c>
      <c r="F71" s="255"/>
      <c r="G71" s="255">
        <v>2050</v>
      </c>
      <c r="H71" s="284">
        <f t="shared" si="29"/>
        <v>7831830833.3966312</v>
      </c>
      <c r="I71" s="284">
        <f>I30*'Default Values'!C$30</f>
        <v>1754424051.0649655</v>
      </c>
      <c r="J71" s="284">
        <f>J30*'Default Values'!C$29</f>
        <v>5422628645.4969168</v>
      </c>
      <c r="K71" s="284">
        <f>K30*'Default Values'!C$31</f>
        <v>654778136.83474874</v>
      </c>
      <c r="L71" s="255"/>
      <c r="M71" s="255">
        <v>2050</v>
      </c>
      <c r="N71" s="284">
        <f t="shared" si="30"/>
        <v>27038646.622465134</v>
      </c>
      <c r="O71" s="284">
        <f t="shared" si="31"/>
        <v>6056981.1774301529</v>
      </c>
      <c r="P71" s="284">
        <f t="shared" si="32"/>
        <v>18721106.575135231</v>
      </c>
      <c r="Q71" s="284">
        <f t="shared" si="33"/>
        <v>2260558.8698999882</v>
      </c>
    </row>
    <row r="72" spans="1:17" s="55" customFormat="1">
      <c r="A72" s="55">
        <v>2051</v>
      </c>
      <c r="B72" s="284">
        <f t="shared" si="28"/>
        <v>7858869480.0190964</v>
      </c>
      <c r="C72" s="284">
        <f>C31*'Default Values'!C$30</f>
        <v>1760481032.2423956</v>
      </c>
      <c r="D72" s="284">
        <f>D31*'Default Values'!C$29</f>
        <v>5441349752.072052</v>
      </c>
      <c r="E72" s="284">
        <f>E31*'Default Values'!C$31</f>
        <v>657038695.70464873</v>
      </c>
      <c r="F72" s="255"/>
      <c r="G72" s="255">
        <v>2051</v>
      </c>
      <c r="H72" s="284">
        <f t="shared" si="29"/>
        <v>7831830833.3966312</v>
      </c>
      <c r="I72" s="284">
        <f>I31*'Default Values'!C$30</f>
        <v>1754424051.0649655</v>
      </c>
      <c r="J72" s="284">
        <f>J31*'Default Values'!C$29</f>
        <v>5422628645.4969168</v>
      </c>
      <c r="K72" s="284">
        <f>K31*'Default Values'!C$31</f>
        <v>654778136.83474874</v>
      </c>
      <c r="L72" s="255"/>
      <c r="M72" s="255">
        <v>2051</v>
      </c>
      <c r="N72" s="284">
        <f t="shared" si="30"/>
        <v>27038646.622465134</v>
      </c>
      <c r="O72" s="284">
        <f t="shared" si="31"/>
        <v>6056981.1774301529</v>
      </c>
      <c r="P72" s="284">
        <f t="shared" si="32"/>
        <v>18721106.575135231</v>
      </c>
      <c r="Q72" s="284">
        <f t="shared" si="33"/>
        <v>2260558.8698999882</v>
      </c>
    </row>
    <row r="73" spans="1:17" s="55" customFormat="1">
      <c r="A73" s="55">
        <v>2052</v>
      </c>
      <c r="B73" s="284">
        <f t="shared" si="28"/>
        <v>7858869480.0190964</v>
      </c>
      <c r="C73" s="284">
        <f>C32*'Default Values'!C$30</f>
        <v>1760481032.2423956</v>
      </c>
      <c r="D73" s="284">
        <f>D32*'Default Values'!C$29</f>
        <v>5441349752.072052</v>
      </c>
      <c r="E73" s="284">
        <f>E32*'Default Values'!C$31</f>
        <v>657038695.70464873</v>
      </c>
      <c r="F73" s="255"/>
      <c r="G73" s="255">
        <v>2052</v>
      </c>
      <c r="H73" s="284">
        <f t="shared" si="29"/>
        <v>7831830833.3966312</v>
      </c>
      <c r="I73" s="284">
        <f>I32*'Default Values'!C$30</f>
        <v>1754424051.0649655</v>
      </c>
      <c r="J73" s="284">
        <f>J32*'Default Values'!C$29</f>
        <v>5422628645.4969168</v>
      </c>
      <c r="K73" s="284">
        <f>K32*'Default Values'!C$31</f>
        <v>654778136.83474874</v>
      </c>
      <c r="L73" s="255"/>
      <c r="M73" s="255">
        <v>2052</v>
      </c>
      <c r="N73" s="284">
        <f t="shared" si="30"/>
        <v>27038646.622465134</v>
      </c>
      <c r="O73" s="284">
        <f t="shared" si="31"/>
        <v>6056981.1774301529</v>
      </c>
      <c r="P73" s="284">
        <f t="shared" si="32"/>
        <v>18721106.575135231</v>
      </c>
      <c r="Q73" s="284">
        <f t="shared" si="33"/>
        <v>2260558.8698999882</v>
      </c>
    </row>
    <row r="74" spans="1:17" s="55" customFormat="1">
      <c r="A74" s="55">
        <v>2053</v>
      </c>
      <c r="B74" s="284">
        <f t="shared" si="28"/>
        <v>7858869480.0190964</v>
      </c>
      <c r="C74" s="284">
        <f>C33*'Default Values'!C$30</f>
        <v>1760481032.2423956</v>
      </c>
      <c r="D74" s="284">
        <f>D33*'Default Values'!C$29</f>
        <v>5441349752.072052</v>
      </c>
      <c r="E74" s="284">
        <f>E33*'Default Values'!C$31</f>
        <v>657038695.70464873</v>
      </c>
      <c r="F74" s="255"/>
      <c r="G74" s="255">
        <v>2053</v>
      </c>
      <c r="H74" s="284">
        <f t="shared" si="29"/>
        <v>7831830833.3966312</v>
      </c>
      <c r="I74" s="284">
        <f>I33*'Default Values'!C$30</f>
        <v>1754424051.0649655</v>
      </c>
      <c r="J74" s="284">
        <f>J33*'Default Values'!C$29</f>
        <v>5422628645.4969168</v>
      </c>
      <c r="K74" s="284">
        <f>K33*'Default Values'!C$31</f>
        <v>654778136.83474874</v>
      </c>
      <c r="L74" s="255"/>
      <c r="M74" s="255">
        <v>2053</v>
      </c>
      <c r="N74" s="284">
        <f t="shared" si="30"/>
        <v>27038646.622465134</v>
      </c>
      <c r="O74" s="284">
        <f t="shared" si="31"/>
        <v>6056981.1774301529</v>
      </c>
      <c r="P74" s="284">
        <f t="shared" si="32"/>
        <v>18721106.575135231</v>
      </c>
      <c r="Q74" s="284">
        <f t="shared" si="33"/>
        <v>2260558.8698999882</v>
      </c>
    </row>
    <row r="75" spans="1:17" s="55" customFormat="1">
      <c r="A75" s="55">
        <v>2054</v>
      </c>
      <c r="B75" s="284">
        <f t="shared" si="28"/>
        <v>7858869480.0190964</v>
      </c>
      <c r="C75" s="284">
        <f>C34*'Default Values'!C$30</f>
        <v>1760481032.2423956</v>
      </c>
      <c r="D75" s="284">
        <f>D34*'Default Values'!C$29</f>
        <v>5441349752.072052</v>
      </c>
      <c r="E75" s="284">
        <f>E34*'Default Values'!C$31</f>
        <v>657038695.70464873</v>
      </c>
      <c r="F75" s="255"/>
      <c r="G75" s="255">
        <v>2054</v>
      </c>
      <c r="H75" s="284">
        <f t="shared" si="29"/>
        <v>7831830833.3966312</v>
      </c>
      <c r="I75" s="284">
        <f>I34*'Default Values'!C$30</f>
        <v>1754424051.0649655</v>
      </c>
      <c r="J75" s="284">
        <f>J34*'Default Values'!C$29</f>
        <v>5422628645.4969168</v>
      </c>
      <c r="K75" s="284">
        <f>K34*'Default Values'!C$31</f>
        <v>654778136.83474874</v>
      </c>
      <c r="L75" s="255"/>
      <c r="M75" s="255">
        <v>2054</v>
      </c>
      <c r="N75" s="284">
        <f t="shared" si="30"/>
        <v>27038646.622465134</v>
      </c>
      <c r="O75" s="284">
        <f t="shared" si="31"/>
        <v>6056981.1774301529</v>
      </c>
      <c r="P75" s="284">
        <f t="shared" si="32"/>
        <v>18721106.575135231</v>
      </c>
      <c r="Q75" s="284">
        <f t="shared" si="33"/>
        <v>2260558.8698999882</v>
      </c>
    </row>
    <row r="76" spans="1:17" s="55" customFormat="1">
      <c r="B76" s="284"/>
      <c r="C76" s="284"/>
      <c r="D76" s="284"/>
      <c r="E76" s="284"/>
      <c r="F76" s="255"/>
      <c r="G76" s="255"/>
      <c r="H76" s="284"/>
      <c r="I76" s="284"/>
      <c r="J76" s="284"/>
      <c r="K76" s="284"/>
      <c r="L76" s="255"/>
      <c r="M76" s="255"/>
      <c r="N76" s="284"/>
      <c r="O76" s="284"/>
      <c r="P76" s="284"/>
      <c r="Q76" s="284"/>
    </row>
    <row r="77" spans="1:17" s="55" customFormat="1">
      <c r="B77" s="284"/>
      <c r="C77" s="284"/>
      <c r="D77" s="284"/>
      <c r="E77" s="284"/>
      <c r="F77" s="255"/>
      <c r="G77" s="255"/>
      <c r="H77" s="284"/>
      <c r="I77" s="284"/>
      <c r="J77" s="284"/>
      <c r="K77" s="284"/>
      <c r="L77" s="255"/>
      <c r="M77" s="255"/>
      <c r="N77" s="284"/>
      <c r="O77" s="284"/>
      <c r="P77" s="284"/>
      <c r="Q77" s="284"/>
    </row>
    <row r="78" spans="1:17" s="55" customFormat="1">
      <c r="B78" s="284"/>
      <c r="C78" s="284"/>
      <c r="D78" s="284"/>
      <c r="E78" s="284"/>
      <c r="F78" s="255"/>
      <c r="G78" s="255"/>
      <c r="H78" s="284"/>
      <c r="I78" s="284"/>
      <c r="J78" s="284"/>
      <c r="K78" s="284"/>
      <c r="L78" s="255"/>
      <c r="M78" s="255"/>
      <c r="N78" s="284"/>
      <c r="O78" s="284"/>
      <c r="P78" s="284"/>
      <c r="Q78" s="284"/>
    </row>
    <row r="79" spans="1:17" s="55" customFormat="1">
      <c r="B79" s="284"/>
      <c r="C79" s="284"/>
      <c r="D79" s="284"/>
      <c r="E79" s="284"/>
      <c r="F79" s="255"/>
      <c r="G79" s="255"/>
      <c r="H79" s="284"/>
      <c r="I79" s="284"/>
      <c r="J79" s="284"/>
      <c r="K79" s="284"/>
      <c r="L79" s="255"/>
      <c r="M79" s="255"/>
      <c r="N79" s="284"/>
      <c r="O79" s="284"/>
      <c r="P79" s="284"/>
      <c r="Q79" s="284"/>
    </row>
    <row r="80" spans="1:17" s="55" customFormat="1">
      <c r="B80" s="255"/>
      <c r="C80" s="255"/>
      <c r="D80" s="255"/>
      <c r="E80" s="255"/>
      <c r="F80" s="255"/>
      <c r="G80" s="255"/>
      <c r="H80" s="255"/>
      <c r="I80" s="255"/>
      <c r="J80" s="255"/>
      <c r="K80" s="255"/>
      <c r="L80" s="255"/>
      <c r="M80" s="255"/>
      <c r="N80" s="255"/>
      <c r="O80" s="255"/>
      <c r="P80" s="255"/>
      <c r="Q80" s="255"/>
    </row>
    <row r="81" spans="1:19" s="55" customFormat="1">
      <c r="B81" s="283"/>
      <c r="C81" s="283"/>
      <c r="D81" s="283"/>
      <c r="E81" s="283"/>
      <c r="F81" s="255"/>
      <c r="G81" s="255"/>
      <c r="H81" s="283"/>
      <c r="I81" s="283"/>
      <c r="J81" s="283"/>
      <c r="K81" s="283"/>
      <c r="L81" s="255"/>
      <c r="M81" s="255"/>
      <c r="N81" s="283"/>
      <c r="O81" s="283"/>
      <c r="P81" s="283"/>
      <c r="Q81" s="283"/>
    </row>
    <row r="82" spans="1:19" s="55" customFormat="1">
      <c r="B82" s="283"/>
      <c r="C82" s="283"/>
      <c r="D82" s="283"/>
      <c r="E82" s="283"/>
      <c r="F82" s="255"/>
      <c r="G82" s="255"/>
      <c r="H82" s="283"/>
      <c r="I82" s="283"/>
      <c r="J82" s="283"/>
      <c r="K82" s="283"/>
      <c r="L82" s="255"/>
      <c r="M82" s="255"/>
      <c r="N82" s="283"/>
      <c r="O82" s="283"/>
      <c r="P82" s="283"/>
      <c r="Q82" s="283"/>
    </row>
    <row r="83" spans="1:19" s="55" customFormat="1">
      <c r="B83" s="255"/>
      <c r="C83" s="255"/>
      <c r="D83" s="255"/>
      <c r="E83" s="255"/>
      <c r="F83" s="255"/>
      <c r="G83" s="255"/>
      <c r="H83" s="255"/>
      <c r="I83" s="255"/>
      <c r="J83" s="255"/>
      <c r="K83" s="255"/>
      <c r="L83" s="255"/>
      <c r="M83" s="255"/>
      <c r="N83" s="255"/>
      <c r="O83" s="255"/>
      <c r="P83" s="255"/>
      <c r="Q83" s="255"/>
    </row>
    <row r="84" spans="1:19" s="55" customFormat="1">
      <c r="B84" s="255"/>
      <c r="C84" s="255"/>
      <c r="D84" s="255"/>
      <c r="E84" s="255"/>
      <c r="F84" s="255"/>
      <c r="G84" s="255"/>
      <c r="H84" s="255"/>
      <c r="I84" s="255"/>
      <c r="J84" s="255"/>
      <c r="K84" s="255"/>
      <c r="L84" s="255"/>
      <c r="M84" s="255"/>
      <c r="N84" s="255"/>
      <c r="O84" s="255"/>
      <c r="P84" s="255"/>
      <c r="Q84" s="255"/>
    </row>
    <row r="85" spans="1:19" s="55" customFormat="1" ht="21">
      <c r="B85" s="255"/>
      <c r="C85" s="285" t="s">
        <v>52</v>
      </c>
      <c r="D85" s="285"/>
      <c r="E85" s="285"/>
      <c r="F85" s="255"/>
      <c r="G85" s="255"/>
      <c r="H85" s="285"/>
      <c r="I85" s="285" t="s">
        <v>53</v>
      </c>
      <c r="J85" s="255"/>
      <c r="K85" s="285"/>
      <c r="L85" s="255"/>
      <c r="M85" s="310" t="s">
        <v>111</v>
      </c>
      <c r="N85" s="285"/>
      <c r="O85" s="285"/>
      <c r="P85" s="285"/>
      <c r="Q85" s="285"/>
    </row>
    <row r="86" spans="1:19" s="55" customFormat="1">
      <c r="A86" s="55" t="s">
        <v>1</v>
      </c>
      <c r="B86" s="256" t="s">
        <v>210</v>
      </c>
      <c r="C86" s="255" t="s">
        <v>45</v>
      </c>
      <c r="D86" s="255" t="s">
        <v>46</v>
      </c>
      <c r="E86" s="255" t="s">
        <v>47</v>
      </c>
      <c r="F86" s="255"/>
      <c r="G86" s="255" t="s">
        <v>1</v>
      </c>
      <c r="H86" s="256" t="s">
        <v>210</v>
      </c>
      <c r="I86" s="255" t="s">
        <v>45</v>
      </c>
      <c r="J86" s="255" t="s">
        <v>46</v>
      </c>
      <c r="K86" s="255" t="s">
        <v>47</v>
      </c>
      <c r="L86" s="255"/>
      <c r="M86" s="255" t="s">
        <v>1</v>
      </c>
      <c r="N86" s="256" t="s">
        <v>210</v>
      </c>
      <c r="O86" s="255" t="s">
        <v>45</v>
      </c>
      <c r="P86" s="255" t="s">
        <v>46</v>
      </c>
      <c r="Q86" s="255" t="s">
        <v>47</v>
      </c>
      <c r="S86" s="55" t="s">
        <v>54</v>
      </c>
    </row>
    <row r="87" spans="1:19" s="55" customFormat="1">
      <c r="B87" s="286"/>
      <c r="C87" s="287">
        <f>SUM(C9:C34)/SUM($B$9:$B$35)</f>
        <v>1.3737014762165117E-3</v>
      </c>
      <c r="D87" s="287">
        <f>SUM(D9:D34)/SUM($B$9:$B$35)</f>
        <v>0.18012575177692725</v>
      </c>
      <c r="E87" s="287">
        <f>SUM(E9:E34)/SUM($B$9:$B$35)</f>
        <v>0.81850054674685568</v>
      </c>
      <c r="F87" s="255"/>
      <c r="H87" s="286"/>
      <c r="I87" s="287">
        <f>SUM(I9:I34)/SUM($H$9:$H$35)</f>
        <v>1.3737014762165121E-3</v>
      </c>
      <c r="J87" s="287">
        <f t="shared" ref="J87:K87" si="34">SUM(J9:J34)/SUM($H$9:$H$35)</f>
        <v>0.18012575177692736</v>
      </c>
      <c r="K87" s="287">
        <f t="shared" si="34"/>
        <v>0.81850054674685635</v>
      </c>
      <c r="L87" s="255"/>
      <c r="N87" s="286"/>
      <c r="O87" s="287">
        <f>SUM(O9:O34)/SUM($N$9:$N$35)</f>
        <v>1.3737014762164907E-3</v>
      </c>
      <c r="P87" s="287">
        <f t="shared" ref="P87:Q87" si="35">SUM(P9:P34)/SUM($N$9:$N$35)</f>
        <v>0.1801257517769273</v>
      </c>
      <c r="Q87" s="287">
        <f t="shared" si="35"/>
        <v>0.81850054674686579</v>
      </c>
    </row>
    <row r="88" spans="1:19" s="55" customFormat="1">
      <c r="A88" s="55">
        <v>2025</v>
      </c>
      <c r="B88" s="284">
        <f>SUM(C88:E88)</f>
        <v>5164509264.5423431</v>
      </c>
      <c r="C88" s="284">
        <f>C46/$S88</f>
        <v>1156912024.5835695</v>
      </c>
      <c r="D88" s="284">
        <f>D46/$S88</f>
        <v>3575819814.4961438</v>
      </c>
      <c r="E88" s="284">
        <f>E46/$S88</f>
        <v>431777425.46262896</v>
      </c>
      <c r="F88" s="255"/>
      <c r="G88" s="255">
        <v>2025</v>
      </c>
      <c r="H88" s="284">
        <f t="shared" ref="H88:H91" si="36">SUM(I88:K88)</f>
        <v>5155510551.3449688</v>
      </c>
      <c r="I88" s="284">
        <f t="shared" ref="I88:K88" si="37">I46/$S88</f>
        <v>1154896204.8859854</v>
      </c>
      <c r="J88" s="284">
        <f t="shared" si="37"/>
        <v>3569589256.0233269</v>
      </c>
      <c r="K88" s="284">
        <f t="shared" si="37"/>
        <v>431025090.43565661</v>
      </c>
      <c r="L88" s="255"/>
      <c r="M88" s="255">
        <v>2025</v>
      </c>
      <c r="N88" s="284">
        <f t="shared" ref="N88:N91" si="38">B88-H88</f>
        <v>8998713.1973743439</v>
      </c>
      <c r="O88" s="284">
        <f t="shared" ref="O88:O91" si="39">C88-I88</f>
        <v>2015819.6975841522</v>
      </c>
      <c r="P88" s="284">
        <f t="shared" ref="P88:P91" si="40">D88-J88</f>
        <v>6230558.4728169441</v>
      </c>
      <c r="Q88" s="284">
        <f t="shared" ref="Q88:Q91" si="41">E88-K88</f>
        <v>752335.02697235346</v>
      </c>
      <c r="S88" s="313">
        <f>'BCA Summary Discounted'!B7</f>
        <v>1.4025517307000004</v>
      </c>
    </row>
    <row r="89" spans="1:19" s="55" customFormat="1">
      <c r="A89" s="55">
        <v>2026</v>
      </c>
      <c r="B89" s="284">
        <f t="shared" ref="B89:B91" si="42">SUM(C89:E89)</f>
        <v>4842404022.3317766</v>
      </c>
      <c r="C89" s="284">
        <f t="shared" ref="C89:E89" si="43">C47/$S89</f>
        <v>1084756586.6113176</v>
      </c>
      <c r="D89" s="284">
        <f t="shared" si="43"/>
        <v>3352799533.4875693</v>
      </c>
      <c r="E89" s="284">
        <f t="shared" si="43"/>
        <v>404847902.23289019</v>
      </c>
      <c r="F89" s="255"/>
      <c r="G89" s="255">
        <v>2026</v>
      </c>
      <c r="H89" s="284">
        <f t="shared" si="36"/>
        <v>4833635893.701643</v>
      </c>
      <c r="I89" s="284">
        <f t="shared" ref="I89:K89" si="44">I47/$S89</f>
        <v>1082792420.6227031</v>
      </c>
      <c r="J89" s="284">
        <f t="shared" si="44"/>
        <v>3346728627.9115167</v>
      </c>
      <c r="K89" s="284">
        <f t="shared" si="44"/>
        <v>404114845.16742283</v>
      </c>
      <c r="L89" s="255"/>
      <c r="M89" s="255">
        <v>2026</v>
      </c>
      <c r="N89" s="284">
        <f t="shared" si="38"/>
        <v>8768128.6301336288</v>
      </c>
      <c r="O89" s="284">
        <f t="shared" si="39"/>
        <v>1964165.9886145592</v>
      </c>
      <c r="P89" s="284">
        <f t="shared" si="40"/>
        <v>6070905.5760526657</v>
      </c>
      <c r="Q89" s="284">
        <f t="shared" si="41"/>
        <v>733057.06546735764</v>
      </c>
      <c r="S89" s="313">
        <f>'BCA Summary Discounted'!B8</f>
        <v>1.5007303518490005</v>
      </c>
    </row>
    <row r="90" spans="1:19" s="55" customFormat="1">
      <c r="A90" s="55">
        <v>2027</v>
      </c>
      <c r="B90" s="284">
        <f t="shared" si="42"/>
        <v>4540388804.575922</v>
      </c>
      <c r="C90" s="284">
        <f t="shared" ref="C90:E90" si="45">C48/$S90</f>
        <v>1017101555.1007993</v>
      </c>
      <c r="D90" s="284">
        <f t="shared" si="45"/>
        <v>3143689249.3129787</v>
      </c>
      <c r="E90" s="284">
        <f t="shared" si="45"/>
        <v>379598000.16214335</v>
      </c>
      <c r="F90" s="255"/>
      <c r="G90" s="255">
        <v>2027</v>
      </c>
      <c r="H90" s="284">
        <f t="shared" si="36"/>
        <v>4531857635.1654816</v>
      </c>
      <c r="I90" s="284">
        <f t="shared" ref="I90:K90" si="46">I48/$S90</f>
        <v>1015190470.8197701</v>
      </c>
      <c r="J90" s="284">
        <f t="shared" si="46"/>
        <v>3137782410.3364043</v>
      </c>
      <c r="K90" s="284">
        <f t="shared" si="46"/>
        <v>378884754.00930643</v>
      </c>
      <c r="L90" s="255"/>
      <c r="M90" s="255">
        <v>2027</v>
      </c>
      <c r="N90" s="284">
        <f t="shared" si="38"/>
        <v>8531169.4104404449</v>
      </c>
      <c r="O90" s="284">
        <f t="shared" si="39"/>
        <v>1911084.2810292244</v>
      </c>
      <c r="P90" s="284">
        <f t="shared" si="40"/>
        <v>5906838.9765744209</v>
      </c>
      <c r="Q90" s="284">
        <f t="shared" si="41"/>
        <v>713246.15283691883</v>
      </c>
      <c r="S90" s="313">
        <f>'BCA Summary Discounted'!B9</f>
        <v>1.6057814764784306</v>
      </c>
    </row>
    <row r="91" spans="1:19" s="55" customFormat="1">
      <c r="A91" s="55">
        <v>2028</v>
      </c>
      <c r="B91" s="284">
        <f t="shared" si="42"/>
        <v>4257210536.9206986</v>
      </c>
      <c r="C91" s="284">
        <f t="shared" ref="C91:E91" si="47">C49/$S91</f>
        <v>953666226.36582351</v>
      </c>
      <c r="D91" s="284">
        <f t="shared" si="47"/>
        <v>2947621354.2530651</v>
      </c>
      <c r="E91" s="284">
        <f t="shared" si="47"/>
        <v>355922956.30180973</v>
      </c>
      <c r="F91" s="255"/>
      <c r="G91" s="255">
        <v>2028</v>
      </c>
      <c r="H91" s="284">
        <f t="shared" si="36"/>
        <v>4248921000.9944067</v>
      </c>
      <c r="I91" s="284">
        <f t="shared" ref="I91:K91" si="48">I49/$S91</f>
        <v>951809270.88368583</v>
      </c>
      <c r="J91" s="284">
        <f t="shared" si="48"/>
        <v>2941881818.2584796</v>
      </c>
      <c r="K91" s="284">
        <f t="shared" si="48"/>
        <v>355229911.85224164</v>
      </c>
      <c r="L91" s="255"/>
      <c r="M91" s="255">
        <v>2028</v>
      </c>
      <c r="N91" s="284">
        <f t="shared" si="38"/>
        <v>8289535.9262919426</v>
      </c>
      <c r="O91" s="284">
        <f t="shared" si="39"/>
        <v>1856955.4821376801</v>
      </c>
      <c r="P91" s="284">
        <f t="shared" si="40"/>
        <v>5739535.9945855141</v>
      </c>
      <c r="Q91" s="284">
        <f t="shared" si="41"/>
        <v>693044.44956809282</v>
      </c>
      <c r="S91" s="313">
        <f>'BCA Summary Discounted'!B10</f>
        <v>1.7181861798319209</v>
      </c>
    </row>
    <row r="92" spans="1:19" s="55" customFormat="1">
      <c r="A92" s="55">
        <v>2029</v>
      </c>
      <c r="B92" s="284">
        <f>SUM(C92:E92)</f>
        <v>3991694305.3967333</v>
      </c>
      <c r="C92" s="284">
        <f t="shared" ref="C92:E111" si="49">C50/$S92</f>
        <v>894187405.58392096</v>
      </c>
      <c r="D92" s="284">
        <f t="shared" si="49"/>
        <v>2763782357.5312972</v>
      </c>
      <c r="E92" s="284">
        <f t="shared" si="49"/>
        <v>333724542.28151536</v>
      </c>
      <c r="F92" s="255"/>
      <c r="G92" s="255">
        <v>2029</v>
      </c>
      <c r="H92" s="284">
        <f>SUM(I92:K92)</f>
        <v>3983649564.6514735</v>
      </c>
      <c r="I92" s="284">
        <f t="shared" ref="I92:K111" si="50">I50/$S92</f>
        <v>892385287.15870154</v>
      </c>
      <c r="J92" s="284">
        <f t="shared" si="50"/>
        <v>2758212313.6247277</v>
      </c>
      <c r="K92" s="284">
        <f t="shared" si="50"/>
        <v>333051963.86804432</v>
      </c>
      <c r="L92" s="255"/>
      <c r="M92" s="255">
        <v>2029</v>
      </c>
      <c r="N92" s="284">
        <f t="shared" ref="N92" si="51">B92-H92</f>
        <v>8044740.7452597618</v>
      </c>
      <c r="O92" s="284">
        <f t="shared" ref="O92" si="52">C92-I92</f>
        <v>1802118.4252194166</v>
      </c>
      <c r="P92" s="284">
        <f t="shared" ref="P92" si="53">D92-J92</f>
        <v>5570043.9065694809</v>
      </c>
      <c r="Q92" s="284">
        <f t="shared" ref="Q92" si="54">E92-K92</f>
        <v>672578.41347104311</v>
      </c>
      <c r="S92" s="313">
        <f>'BCA Summary Discounted'!B11</f>
        <v>1.8384592124201555</v>
      </c>
    </row>
    <row r="93" spans="1:19" s="55" customFormat="1">
      <c r="A93" s="55">
        <v>2030</v>
      </c>
      <c r="B93" s="284">
        <f>SUM(C93:E93)</f>
        <v>3742738481.0247111</v>
      </c>
      <c r="C93" s="284">
        <f t="shared" si="49"/>
        <v>838418314.64946377</v>
      </c>
      <c r="D93" s="284">
        <f t="shared" si="49"/>
        <v>2591409509.6722302</v>
      </c>
      <c r="E93" s="284">
        <f t="shared" si="49"/>
        <v>312910656.70301712</v>
      </c>
      <c r="F93" s="255"/>
      <c r="G93" s="255">
        <v>2030</v>
      </c>
      <c r="H93" s="284">
        <f>SUM(I93:K93)</f>
        <v>3734940355.5642648</v>
      </c>
      <c r="I93" s="284">
        <f t="shared" si="50"/>
        <v>836671441.00624251</v>
      </c>
      <c r="J93" s="284">
        <f t="shared" si="50"/>
        <v>2586010218.0630856</v>
      </c>
      <c r="K93" s="284">
        <f t="shared" si="50"/>
        <v>312258696.49493635</v>
      </c>
      <c r="L93" s="255"/>
      <c r="M93" s="255">
        <v>2030</v>
      </c>
      <c r="N93" s="284">
        <f t="shared" ref="N93:N111" si="55">B93-H93</f>
        <v>7798125.4604463577</v>
      </c>
      <c r="O93" s="284">
        <f t="shared" ref="O93:O111" si="56">C93-I93</f>
        <v>1746873.6432212591</v>
      </c>
      <c r="P93" s="284">
        <f t="shared" ref="P93:P111" si="57">D93-J93</f>
        <v>5399291.6091446877</v>
      </c>
      <c r="Q93" s="284">
        <f t="shared" ref="Q93:Q111" si="58">E93-K93</f>
        <v>651960.20808076859</v>
      </c>
      <c r="S93" s="313">
        <f>'BCA Summary Discounted'!B12</f>
        <v>1.9671513572895665</v>
      </c>
    </row>
    <row r="94" spans="1:19" s="55" customFormat="1">
      <c r="A94" s="55">
        <v>2031</v>
      </c>
      <c r="B94" s="284">
        <f t="shared" ref="B94:B111" si="59">SUM(C94:E94)</f>
        <v>3509310148.5413685</v>
      </c>
      <c r="C94" s="284">
        <f t="shared" si="49"/>
        <v>786127568.1534555</v>
      </c>
      <c r="D94" s="284">
        <f t="shared" si="49"/>
        <v>2429787637.4278598</v>
      </c>
      <c r="E94" s="284">
        <f t="shared" si="49"/>
        <v>293394942.9600535</v>
      </c>
      <c r="F94" s="255"/>
      <c r="G94" s="255">
        <v>2031</v>
      </c>
      <c r="H94" s="284">
        <f t="shared" ref="H94:H111" si="60">SUM(I94:K94)</f>
        <v>3501759272.3776464</v>
      </c>
      <c r="I94" s="284">
        <f t="shared" si="50"/>
        <v>784436081.31850529</v>
      </c>
      <c r="J94" s="284">
        <f t="shared" si="50"/>
        <v>2424559537.0953808</v>
      </c>
      <c r="K94" s="284">
        <f t="shared" si="50"/>
        <v>292763653.96376044</v>
      </c>
      <c r="L94" s="255"/>
      <c r="M94" s="255">
        <v>2031</v>
      </c>
      <c r="N94" s="284">
        <f t="shared" si="55"/>
        <v>7550876.1637220383</v>
      </c>
      <c r="O94" s="284">
        <f t="shared" si="56"/>
        <v>1691486.8349502087</v>
      </c>
      <c r="P94" s="284">
        <f t="shared" si="57"/>
        <v>5228100.3324790001</v>
      </c>
      <c r="Q94" s="284">
        <f t="shared" si="58"/>
        <v>631288.99629306793</v>
      </c>
      <c r="S94" s="313">
        <f>'BCA Summary Discounted'!B13</f>
        <v>2.1048519522998363</v>
      </c>
    </row>
    <row r="95" spans="1:19" s="55" customFormat="1">
      <c r="A95" s="55">
        <v>2032</v>
      </c>
      <c r="B95" s="284">
        <f t="shared" si="59"/>
        <v>3290440820.2749138</v>
      </c>
      <c r="C95" s="284">
        <f t="shared" si="49"/>
        <v>737098213.24021006</v>
      </c>
      <c r="D95" s="284">
        <f t="shared" si="49"/>
        <v>2278246176.1366668</v>
      </c>
      <c r="E95" s="284">
        <f t="shared" si="49"/>
        <v>275096430.8980369</v>
      </c>
      <c r="F95" s="255"/>
      <c r="G95" s="255">
        <v>2032</v>
      </c>
      <c r="H95" s="284">
        <f t="shared" si="60"/>
        <v>3283136782.622829</v>
      </c>
      <c r="I95" s="284">
        <f t="shared" si="50"/>
        <v>735462021.19274437</v>
      </c>
      <c r="J95" s="284">
        <f t="shared" si="50"/>
        <v>2273188982.6601315</v>
      </c>
      <c r="K95" s="284">
        <f t="shared" si="50"/>
        <v>274485778.76995343</v>
      </c>
      <c r="L95" s="255"/>
      <c r="M95" s="255">
        <v>2032</v>
      </c>
      <c r="N95" s="284">
        <f t="shared" si="55"/>
        <v>7304037.6520848274</v>
      </c>
      <c r="O95" s="284">
        <f t="shared" si="56"/>
        <v>1636192.047465682</v>
      </c>
      <c r="P95" s="284">
        <f t="shared" si="57"/>
        <v>5057193.4765353203</v>
      </c>
      <c r="Q95" s="284">
        <f t="shared" si="58"/>
        <v>610652.12808346748</v>
      </c>
      <c r="S95" s="313">
        <f>'BCA Summary Discounted'!B14</f>
        <v>2.2521915889608248</v>
      </c>
    </row>
    <row r="96" spans="1:19" s="55" customFormat="1">
      <c r="A96" s="55">
        <v>2033</v>
      </c>
      <c r="B96" s="284">
        <f t="shared" si="59"/>
        <v>3085222417.3821378</v>
      </c>
      <c r="C96" s="284">
        <f t="shared" si="49"/>
        <v>691126829.3562609</v>
      </c>
      <c r="D96" s="284">
        <f t="shared" si="49"/>
        <v>2136156387.1994269</v>
      </c>
      <c r="E96" s="284">
        <f t="shared" si="49"/>
        <v>257939200.82644981</v>
      </c>
      <c r="F96" s="255"/>
      <c r="G96" s="255">
        <v>2033</v>
      </c>
      <c r="H96" s="284">
        <f t="shared" si="60"/>
        <v>3078163890.9170604</v>
      </c>
      <c r="I96" s="284">
        <f t="shared" si="50"/>
        <v>689545634.75964069</v>
      </c>
      <c r="J96" s="284">
        <f t="shared" si="50"/>
        <v>2131269181.5614667</v>
      </c>
      <c r="K96" s="284">
        <f t="shared" si="50"/>
        <v>257349074.59595287</v>
      </c>
      <c r="L96" s="255"/>
      <c r="M96" s="255">
        <v>2033</v>
      </c>
      <c r="N96" s="284">
        <f t="shared" si="55"/>
        <v>7058526.4650774002</v>
      </c>
      <c r="O96" s="284">
        <f t="shared" si="56"/>
        <v>1581194.5966202021</v>
      </c>
      <c r="P96" s="284">
        <f t="shared" si="57"/>
        <v>4887205.6379601955</v>
      </c>
      <c r="Q96" s="284">
        <f t="shared" si="58"/>
        <v>590126.230496943</v>
      </c>
      <c r="S96" s="313">
        <f>'BCA Summary Discounted'!B15</f>
        <v>2.4098450001880827</v>
      </c>
    </row>
    <row r="97" spans="1:19" s="55" customFormat="1">
      <c r="A97" s="55">
        <v>2034</v>
      </c>
      <c r="B97" s="284">
        <f t="shared" si="59"/>
        <v>2892803501.7691307</v>
      </c>
      <c r="C97" s="284">
        <f t="shared" si="49"/>
        <v>648022684.15540111</v>
      </c>
      <c r="D97" s="284">
        <f t="shared" si="49"/>
        <v>2002928749.1241519</v>
      </c>
      <c r="E97" s="284">
        <f t="shared" si="49"/>
        <v>241852068.48957771</v>
      </c>
      <c r="F97" s="255"/>
      <c r="G97" s="255">
        <v>2034</v>
      </c>
      <c r="H97" s="284">
        <f t="shared" si="60"/>
        <v>2885988358.9251976</v>
      </c>
      <c r="I97" s="284">
        <f t="shared" si="50"/>
        <v>646496010.40935266</v>
      </c>
      <c r="J97" s="284">
        <f t="shared" si="50"/>
        <v>1998210058.2337568</v>
      </c>
      <c r="K97" s="284">
        <f t="shared" si="50"/>
        <v>241282290.28208828</v>
      </c>
      <c r="L97" s="255"/>
      <c r="M97" s="255">
        <v>2034</v>
      </c>
      <c r="N97" s="284">
        <f t="shared" si="55"/>
        <v>6815142.8439331055</v>
      </c>
      <c r="O97" s="284">
        <f t="shared" si="56"/>
        <v>1526673.7460484505</v>
      </c>
      <c r="P97" s="284">
        <f t="shared" si="57"/>
        <v>4718690.8903951645</v>
      </c>
      <c r="Q97" s="284">
        <f t="shared" si="58"/>
        <v>569778.2074894309</v>
      </c>
      <c r="S97" s="313">
        <f>'BCA Summary Discounted'!B16</f>
        <v>2.5785341502012487</v>
      </c>
    </row>
    <row r="98" spans="1:19" s="55" customFormat="1">
      <c r="A98" s="55">
        <v>2035</v>
      </c>
      <c r="B98" s="284">
        <f t="shared" si="59"/>
        <v>2712385743.0579243</v>
      </c>
      <c r="C98" s="284">
        <f t="shared" si="49"/>
        <v>607606942.05683243</v>
      </c>
      <c r="D98" s="284">
        <f t="shared" si="49"/>
        <v>1878010511.3128996</v>
      </c>
      <c r="E98" s="284">
        <f t="shared" si="49"/>
        <v>226768289.68819225</v>
      </c>
      <c r="F98" s="255"/>
      <c r="G98" s="255">
        <v>2035</v>
      </c>
      <c r="H98" s="284">
        <f t="shared" si="60"/>
        <v>2705811161.3615971</v>
      </c>
      <c r="I98" s="284">
        <f t="shared" si="50"/>
        <v>606134156.8934269</v>
      </c>
      <c r="J98" s="284">
        <f t="shared" si="50"/>
        <v>1873458380.9366102</v>
      </c>
      <c r="K98" s="284">
        <f t="shared" si="50"/>
        <v>226218623.53155974</v>
      </c>
      <c r="L98" s="255"/>
      <c r="M98" s="255">
        <v>2035</v>
      </c>
      <c r="N98" s="284">
        <f t="shared" si="55"/>
        <v>6574581.6963272095</v>
      </c>
      <c r="O98" s="284">
        <f t="shared" si="56"/>
        <v>1472785.1634055376</v>
      </c>
      <c r="P98" s="284">
        <f t="shared" si="57"/>
        <v>4552130.3762893677</v>
      </c>
      <c r="Q98" s="284">
        <f t="shared" si="58"/>
        <v>549666.15663251281</v>
      </c>
      <c r="S98" s="313">
        <f>'BCA Summary Discounted'!B17</f>
        <v>2.7590315407153363</v>
      </c>
    </row>
    <row r="99" spans="1:19" s="55" customFormat="1">
      <c r="A99" s="55">
        <v>2036</v>
      </c>
      <c r="B99" s="284">
        <f t="shared" si="59"/>
        <v>2543220605.9368796</v>
      </c>
      <c r="C99" s="284">
        <f t="shared" si="49"/>
        <v>569711922.17191648</v>
      </c>
      <c r="D99" s="284">
        <f t="shared" si="49"/>
        <v>1760883400.438602</v>
      </c>
      <c r="E99" s="284">
        <f t="shared" si="49"/>
        <v>212625283.3263613</v>
      </c>
      <c r="F99" s="255"/>
      <c r="G99" s="255">
        <v>2036</v>
      </c>
      <c r="H99" s="284">
        <f t="shared" si="60"/>
        <v>2536883163.2925177</v>
      </c>
      <c r="I99" s="284">
        <f t="shared" si="50"/>
        <v>568292259.00068176</v>
      </c>
      <c r="J99" s="284">
        <f t="shared" si="50"/>
        <v>1756495461.1746473</v>
      </c>
      <c r="K99" s="284">
        <f t="shared" si="50"/>
        <v>212095443.11718854</v>
      </c>
      <c r="L99" s="255"/>
      <c r="M99" s="255">
        <v>2036</v>
      </c>
      <c r="N99" s="284">
        <f t="shared" si="55"/>
        <v>6337442.6443619728</v>
      </c>
      <c r="O99" s="284">
        <f t="shared" si="56"/>
        <v>1419663.1712347269</v>
      </c>
      <c r="P99" s="284">
        <f t="shared" si="57"/>
        <v>4387939.2639546394</v>
      </c>
      <c r="Q99" s="284">
        <f t="shared" si="58"/>
        <v>529840.20917275548</v>
      </c>
      <c r="S99" s="313">
        <f>'BCA Summary Discounted'!B18</f>
        <v>2.9521637485654102</v>
      </c>
    </row>
    <row r="100" spans="1:19" s="55" customFormat="1">
      <c r="A100" s="55">
        <v>2037</v>
      </c>
      <c r="B100" s="284">
        <f t="shared" si="59"/>
        <v>2384606244.1473188</v>
      </c>
      <c r="C100" s="284">
        <f t="shared" si="49"/>
        <v>534180402.51992238</v>
      </c>
      <c r="D100" s="284">
        <f t="shared" si="49"/>
        <v>1651061469.8933709</v>
      </c>
      <c r="E100" s="284">
        <f t="shared" si="49"/>
        <v>199364371.73402563</v>
      </c>
      <c r="F100" s="255"/>
      <c r="G100" s="255">
        <v>2037</v>
      </c>
      <c r="H100" s="284">
        <f t="shared" si="60"/>
        <v>2378502004.9197521</v>
      </c>
      <c r="I100" s="284">
        <f t="shared" si="50"/>
        <v>532812979.71137166</v>
      </c>
      <c r="J100" s="284">
        <f t="shared" si="50"/>
        <v>1646834996.7738011</v>
      </c>
      <c r="K100" s="284">
        <f t="shared" si="50"/>
        <v>198854028.43457946</v>
      </c>
      <c r="L100" s="255"/>
      <c r="M100" s="255">
        <v>2037</v>
      </c>
      <c r="N100" s="284">
        <f t="shared" si="55"/>
        <v>6104239.2275667191</v>
      </c>
      <c r="O100" s="284">
        <f t="shared" si="56"/>
        <v>1367422.8085507154</v>
      </c>
      <c r="P100" s="284">
        <f t="shared" si="57"/>
        <v>4226473.1195697784</v>
      </c>
      <c r="Q100" s="284">
        <f t="shared" si="58"/>
        <v>510343.29944616556</v>
      </c>
      <c r="S100" s="313">
        <f>'BCA Summary Discounted'!B19</f>
        <v>3.1588152109649892</v>
      </c>
    </row>
    <row r="101" spans="1:19" s="55" customFormat="1">
      <c r="A101" s="55">
        <v>2038</v>
      </c>
      <c r="B101" s="284">
        <f t="shared" si="59"/>
        <v>2235884588.2164607</v>
      </c>
      <c r="C101" s="284">
        <f t="shared" si="49"/>
        <v>500864967.64527178</v>
      </c>
      <c r="D101" s="284">
        <f t="shared" si="49"/>
        <v>1548089083.3835044</v>
      </c>
      <c r="E101" s="284">
        <f t="shared" si="49"/>
        <v>186930537.18768457</v>
      </c>
      <c r="F101" s="255"/>
      <c r="G101" s="255">
        <v>2038</v>
      </c>
      <c r="H101" s="284">
        <f t="shared" si="60"/>
        <v>2230009180.8891416</v>
      </c>
      <c r="I101" s="284">
        <f t="shared" si="50"/>
        <v>499548805.92726105</v>
      </c>
      <c r="J101" s="284">
        <f t="shared" si="50"/>
        <v>1544021049.6433954</v>
      </c>
      <c r="K101" s="284">
        <f t="shared" si="50"/>
        <v>186439325.31848499</v>
      </c>
      <c r="L101" s="255"/>
      <c r="M101" s="255">
        <v>2038</v>
      </c>
      <c r="N101" s="284">
        <f t="shared" si="55"/>
        <v>5875407.3273191452</v>
      </c>
      <c r="O101" s="284">
        <f t="shared" si="56"/>
        <v>1316161.7180107236</v>
      </c>
      <c r="P101" s="284">
        <f t="shared" si="57"/>
        <v>4068033.7401089668</v>
      </c>
      <c r="Q101" s="284">
        <f t="shared" si="58"/>
        <v>491211.86919957399</v>
      </c>
      <c r="S101" s="313">
        <f>'BCA Summary Discounted'!B20</f>
        <v>3.3799322757325387</v>
      </c>
    </row>
    <row r="102" spans="1:19" s="55" customFormat="1">
      <c r="A102" s="55">
        <v>2039</v>
      </c>
      <c r="B102" s="284">
        <f t="shared" si="59"/>
        <v>2096438614.8508477</v>
      </c>
      <c r="C102" s="284">
        <f t="shared" si="49"/>
        <v>469627396.92891169</v>
      </c>
      <c r="D102" s="284">
        <f t="shared" si="49"/>
        <v>1451539024.3031771</v>
      </c>
      <c r="E102" s="284">
        <f t="shared" si="49"/>
        <v>175272193.61875883</v>
      </c>
      <c r="F102" s="255"/>
      <c r="G102" s="255">
        <v>2039</v>
      </c>
      <c r="H102" s="284">
        <f t="shared" si="60"/>
        <v>2090787301.9767573</v>
      </c>
      <c r="I102" s="284">
        <f t="shared" si="50"/>
        <v>468361435.05648232</v>
      </c>
      <c r="J102" s="284">
        <f t="shared" si="50"/>
        <v>1447626149.8134689</v>
      </c>
      <c r="K102" s="284">
        <f t="shared" si="50"/>
        <v>174799717.10680607</v>
      </c>
      <c r="L102" s="255"/>
      <c r="M102" s="255">
        <v>2039</v>
      </c>
      <c r="N102" s="284">
        <f t="shared" si="55"/>
        <v>5651312.8740904331</v>
      </c>
      <c r="O102" s="284">
        <f t="shared" si="56"/>
        <v>1265961.8724293709</v>
      </c>
      <c r="P102" s="284">
        <f t="shared" si="57"/>
        <v>3912874.4897081852</v>
      </c>
      <c r="Q102" s="284">
        <f t="shared" si="58"/>
        <v>472476.51195275784</v>
      </c>
      <c r="S102" s="313">
        <f>'BCA Summary Discounted'!B21</f>
        <v>3.6165275350338169</v>
      </c>
    </row>
    <row r="103" spans="1:19" s="55" customFormat="1">
      <c r="A103" s="55">
        <v>2040</v>
      </c>
      <c r="B103" s="284">
        <f t="shared" si="59"/>
        <v>1965689786.65835</v>
      </c>
      <c r="C103" s="284">
        <f t="shared" si="49"/>
        <v>440338091.05533302</v>
      </c>
      <c r="D103" s="284">
        <f t="shared" si="49"/>
        <v>1361010723.0407887</v>
      </c>
      <c r="E103" s="284">
        <f t="shared" si="49"/>
        <v>164340972.56222829</v>
      </c>
      <c r="F103" s="255"/>
      <c r="G103" s="255">
        <v>2040</v>
      </c>
      <c r="H103" s="284">
        <f t="shared" si="60"/>
        <v>1960257527.7640879</v>
      </c>
      <c r="I103" s="284">
        <f t="shared" si="50"/>
        <v>439121199.90198165</v>
      </c>
      <c r="J103" s="284">
        <f t="shared" si="50"/>
        <v>1357249517.8620241</v>
      </c>
      <c r="K103" s="284">
        <f t="shared" si="50"/>
        <v>163886810.00008234</v>
      </c>
      <c r="L103" s="255"/>
      <c r="M103" s="255">
        <v>2040</v>
      </c>
      <c r="N103" s="284">
        <f t="shared" si="55"/>
        <v>5432258.8942620754</v>
      </c>
      <c r="O103" s="284">
        <f t="shared" si="56"/>
        <v>1216891.1533513665</v>
      </c>
      <c r="P103" s="284">
        <f t="shared" si="57"/>
        <v>3761205.1787645817</v>
      </c>
      <c r="Q103" s="284">
        <f t="shared" si="58"/>
        <v>454162.56214594841</v>
      </c>
      <c r="S103" s="313">
        <f>'BCA Summary Discounted'!B22</f>
        <v>3.8696844624861844</v>
      </c>
    </row>
    <row r="104" spans="1:19" s="55" customFormat="1">
      <c r="A104" s="55">
        <v>2041</v>
      </c>
      <c r="B104" s="284">
        <f t="shared" si="59"/>
        <v>1843095651.5737619</v>
      </c>
      <c r="C104" s="284">
        <f t="shared" si="49"/>
        <v>412875534.255108</v>
      </c>
      <c r="D104" s="284">
        <f t="shared" si="49"/>
        <v>1276128594.8614073</v>
      </c>
      <c r="E104" s="284">
        <f t="shared" si="49"/>
        <v>154091522.45724684</v>
      </c>
      <c r="F104" s="255"/>
      <c r="G104" s="255">
        <v>2041</v>
      </c>
      <c r="H104" s="284">
        <f t="shared" si="60"/>
        <v>1837877159.6247602</v>
      </c>
      <c r="I104" s="284">
        <f t="shared" si="50"/>
        <v>411706529.46167237</v>
      </c>
      <c r="J104" s="284">
        <f t="shared" si="50"/>
        <v>1272515398.3393011</v>
      </c>
      <c r="K104" s="284">
        <f t="shared" si="50"/>
        <v>153655231.8237868</v>
      </c>
      <c r="L104" s="255"/>
      <c r="M104" s="255">
        <v>2041</v>
      </c>
      <c r="N104" s="284">
        <f t="shared" si="55"/>
        <v>5218491.9490017891</v>
      </c>
      <c r="O104" s="284">
        <f t="shared" si="56"/>
        <v>1169004.7934356332</v>
      </c>
      <c r="P104" s="284">
        <f t="shared" si="57"/>
        <v>3613196.5221061707</v>
      </c>
      <c r="Q104" s="284">
        <f t="shared" si="58"/>
        <v>436290.63346004486</v>
      </c>
      <c r="S104" s="313">
        <f>'BCA Summary Discounted'!B23</f>
        <v>4.1405623748602176</v>
      </c>
    </row>
    <row r="105" spans="1:19" s="55" customFormat="1">
      <c r="A105" s="55">
        <v>2042</v>
      </c>
      <c r="B105" s="284">
        <f t="shared" si="59"/>
        <v>1728147592.0257864</v>
      </c>
      <c r="C105" s="284">
        <f t="shared" si="49"/>
        <v>387125790.09129614</v>
      </c>
      <c r="D105" s="284">
        <f t="shared" si="49"/>
        <v>1196540481.4676445</v>
      </c>
      <c r="E105" s="284">
        <f t="shared" si="49"/>
        <v>144481320.46684566</v>
      </c>
      <c r="F105" s="255"/>
      <c r="G105" s="255">
        <v>2042</v>
      </c>
      <c r="H105" s="284">
        <f t="shared" si="60"/>
        <v>1723137384.0121112</v>
      </c>
      <c r="I105" s="284">
        <f t="shared" si="50"/>
        <v>386003443.39778131</v>
      </c>
      <c r="J105" s="284">
        <f t="shared" si="50"/>
        <v>1193071497.2578475</v>
      </c>
      <c r="K105" s="284">
        <f t="shared" si="50"/>
        <v>144062443.35648221</v>
      </c>
      <c r="L105" s="255"/>
      <c r="M105" s="255">
        <v>2042</v>
      </c>
      <c r="N105" s="284">
        <f t="shared" si="55"/>
        <v>5010208.0136752129</v>
      </c>
      <c r="O105" s="284">
        <f t="shared" si="56"/>
        <v>1122346.6935148239</v>
      </c>
      <c r="P105" s="284">
        <f t="shared" si="57"/>
        <v>3468984.2097969055</v>
      </c>
      <c r="Q105" s="284">
        <f t="shared" si="58"/>
        <v>418877.11036345363</v>
      </c>
      <c r="S105" s="313">
        <f>'BCA Summary Discounted'!B24</f>
        <v>4.4304017411004333</v>
      </c>
    </row>
    <row r="106" spans="1:19" s="55" customFormat="1">
      <c r="A106" s="55">
        <v>2043</v>
      </c>
      <c r="B106" s="284">
        <f t="shared" si="59"/>
        <v>1620368714.5046608</v>
      </c>
      <c r="C106" s="284">
        <f t="shared" si="49"/>
        <v>362982028.69727731</v>
      </c>
      <c r="D106" s="284">
        <f t="shared" si="49"/>
        <v>1121916189.7715881</v>
      </c>
      <c r="E106" s="284">
        <f t="shared" si="49"/>
        <v>135470496.03579545</v>
      </c>
      <c r="F106" s="255"/>
      <c r="G106" s="255">
        <v>2043</v>
      </c>
      <c r="H106" s="284">
        <f t="shared" si="60"/>
        <v>1615561156.6620674</v>
      </c>
      <c r="I106" s="284">
        <f t="shared" si="50"/>
        <v>361905078.0729143</v>
      </c>
      <c r="J106" s="284">
        <f t="shared" si="50"/>
        <v>1118587517.1499879</v>
      </c>
      <c r="K106" s="284">
        <f t="shared" si="50"/>
        <v>135068561.43916503</v>
      </c>
      <c r="L106" s="255"/>
      <c r="M106" s="255">
        <v>2043</v>
      </c>
      <c r="N106" s="284">
        <f t="shared" si="55"/>
        <v>4807557.8425934315</v>
      </c>
      <c r="O106" s="284">
        <f t="shared" si="56"/>
        <v>1076950.6243630052</v>
      </c>
      <c r="P106" s="284">
        <f t="shared" si="57"/>
        <v>3328672.6216001511</v>
      </c>
      <c r="Q106" s="284">
        <f t="shared" si="58"/>
        <v>401934.59663042426</v>
      </c>
      <c r="S106" s="313">
        <f>'BCA Summary Discounted'!B25</f>
        <v>4.7405298629774641</v>
      </c>
    </row>
    <row r="107" spans="1:19" s="55" customFormat="1">
      <c r="A107" s="55">
        <v>2044</v>
      </c>
      <c r="B107" s="284">
        <f t="shared" si="59"/>
        <v>1519311870.7723737</v>
      </c>
      <c r="C107" s="284">
        <f t="shared" si="49"/>
        <v>340344083.50410396</v>
      </c>
      <c r="D107" s="284">
        <f t="shared" si="49"/>
        <v>1051946121.8138582</v>
      </c>
      <c r="E107" s="284">
        <f t="shared" si="49"/>
        <v>127021665.45441148</v>
      </c>
      <c r="F107" s="255"/>
      <c r="G107" s="255">
        <v>2044</v>
      </c>
      <c r="H107" s="284">
        <f t="shared" si="60"/>
        <v>1514701218.9118876</v>
      </c>
      <c r="I107" s="284">
        <f t="shared" si="50"/>
        <v>339311242.18165988</v>
      </c>
      <c r="J107" s="284">
        <f t="shared" si="50"/>
        <v>1048753783.6001073</v>
      </c>
      <c r="K107" s="284">
        <f t="shared" si="50"/>
        <v>126636193.13012056</v>
      </c>
      <c r="L107" s="255"/>
      <c r="M107" s="255">
        <v>2044</v>
      </c>
      <c r="N107" s="284">
        <f t="shared" si="55"/>
        <v>4610651.8604860306</v>
      </c>
      <c r="O107" s="284">
        <f t="shared" si="56"/>
        <v>1032841.3224440813</v>
      </c>
      <c r="P107" s="284">
        <f t="shared" si="57"/>
        <v>3192338.2137508392</v>
      </c>
      <c r="Q107" s="284">
        <f t="shared" si="58"/>
        <v>385472.32429091632</v>
      </c>
      <c r="S107" s="313">
        <f>'BCA Summary Discounted'!B26</f>
        <v>5.0723669533858873</v>
      </c>
    </row>
    <row r="108" spans="1:19" s="55" customFormat="1">
      <c r="A108" s="55">
        <v>2045</v>
      </c>
      <c r="B108" s="284">
        <f t="shared" si="59"/>
        <v>1424557802.5037386</v>
      </c>
      <c r="C108" s="284">
        <f t="shared" si="49"/>
        <v>319118035.61784643</v>
      </c>
      <c r="D108" s="284">
        <f t="shared" si="49"/>
        <v>986339990.1441282</v>
      </c>
      <c r="E108" s="284">
        <f t="shared" si="49"/>
        <v>119099776.74176396</v>
      </c>
      <c r="F108" s="255"/>
      <c r="G108" s="255">
        <v>2045</v>
      </c>
      <c r="H108" s="284">
        <f t="shared" si="60"/>
        <v>1420138237.88482</v>
      </c>
      <c r="I108" s="284">
        <f t="shared" si="50"/>
        <v>318128000.12964326</v>
      </c>
      <c r="J108" s="284">
        <f t="shared" si="50"/>
        <v>983279957.53962171</v>
      </c>
      <c r="K108" s="284">
        <f t="shared" si="50"/>
        <v>118730280.215555</v>
      </c>
      <c r="L108" s="255"/>
      <c r="M108" s="255">
        <v>2045</v>
      </c>
      <c r="N108" s="284">
        <f t="shared" si="55"/>
        <v>4419564.6189186573</v>
      </c>
      <c r="O108" s="284">
        <f t="shared" si="56"/>
        <v>990035.48820316792</v>
      </c>
      <c r="P108" s="284">
        <f t="shared" si="57"/>
        <v>3060032.6045064926</v>
      </c>
      <c r="Q108" s="284">
        <f t="shared" si="58"/>
        <v>369496.52620896697</v>
      </c>
      <c r="S108" s="313">
        <f>'BCA Summary Discounted'!B27</f>
        <v>5.4274326401229001</v>
      </c>
    </row>
    <row r="109" spans="1:19" s="55" customFormat="1">
      <c r="A109" s="55">
        <v>2046</v>
      </c>
      <c r="B109" s="284">
        <f t="shared" si="59"/>
        <v>1335713401.6588593</v>
      </c>
      <c r="C109" s="284">
        <f t="shared" si="49"/>
        <v>299215824.12215811</v>
      </c>
      <c r="D109" s="284">
        <f t="shared" si="49"/>
        <v>924825613.33212161</v>
      </c>
      <c r="E109" s="284">
        <f t="shared" si="49"/>
        <v>111671964.20457971</v>
      </c>
      <c r="F109" s="255"/>
      <c r="G109" s="255">
        <v>2046</v>
      </c>
      <c r="H109" s="284">
        <f t="shared" si="60"/>
        <v>1331479062.8059154</v>
      </c>
      <c r="I109" s="284">
        <f t="shared" si="50"/>
        <v>298267281.4273535</v>
      </c>
      <c r="J109" s="284">
        <f t="shared" si="50"/>
        <v>921893827.94921935</v>
      </c>
      <c r="K109" s="284">
        <f t="shared" si="50"/>
        <v>111317953.42934246</v>
      </c>
      <c r="L109" s="255"/>
      <c r="M109" s="255">
        <v>2046</v>
      </c>
      <c r="N109" s="284">
        <f t="shared" si="55"/>
        <v>4234338.8529438972</v>
      </c>
      <c r="O109" s="284">
        <f t="shared" si="56"/>
        <v>948542.69480460882</v>
      </c>
      <c r="P109" s="284">
        <f t="shared" si="57"/>
        <v>2931785.3829022646</v>
      </c>
      <c r="Q109" s="284">
        <f t="shared" si="58"/>
        <v>354010.77523724735</v>
      </c>
      <c r="S109" s="313">
        <f>'BCA Summary Discounted'!B28</f>
        <v>5.8073529249315037</v>
      </c>
    </row>
    <row r="110" spans="1:19" s="55" customFormat="1">
      <c r="A110" s="55">
        <v>2047</v>
      </c>
      <c r="B110" s="284">
        <f t="shared" si="59"/>
        <v>1252410079.3678148</v>
      </c>
      <c r="C110" s="284">
        <f t="shared" si="49"/>
        <v>280554880.68887913</v>
      </c>
      <c r="D110" s="284">
        <f t="shared" si="49"/>
        <v>867147786.61065626</v>
      </c>
      <c r="E110" s="284">
        <f t="shared" si="49"/>
        <v>104707412.06827947</v>
      </c>
      <c r="F110" s="255"/>
      <c r="G110" s="255">
        <v>2047</v>
      </c>
      <c r="H110" s="284">
        <f t="shared" si="60"/>
        <v>1248355090.1972463</v>
      </c>
      <c r="I110" s="284">
        <f t="shared" si="50"/>
        <v>279646514.47426212</v>
      </c>
      <c r="J110" s="284">
        <f t="shared" si="50"/>
        <v>864340179.94737899</v>
      </c>
      <c r="K110" s="284">
        <f t="shared" si="50"/>
        <v>104368395.77560522</v>
      </c>
      <c r="L110" s="255"/>
      <c r="M110" s="255">
        <v>2047</v>
      </c>
      <c r="N110" s="284">
        <f t="shared" si="55"/>
        <v>4054989.1705684662</v>
      </c>
      <c r="O110" s="284">
        <f t="shared" si="56"/>
        <v>908366.21461701393</v>
      </c>
      <c r="P110" s="284">
        <f t="shared" si="57"/>
        <v>2807606.6632772684</v>
      </c>
      <c r="Q110" s="284">
        <f t="shared" si="58"/>
        <v>339016.29267425835</v>
      </c>
      <c r="S110" s="313">
        <f>'BCA Summary Discounted'!B29</f>
        <v>6.2138676296767095</v>
      </c>
    </row>
    <row r="111" spans="1:19" s="55" customFormat="1">
      <c r="A111" s="55">
        <v>2048</v>
      </c>
      <c r="B111" s="284">
        <f t="shared" si="59"/>
        <v>1174302236.5587239</v>
      </c>
      <c r="C111" s="284">
        <f t="shared" si="49"/>
        <v>263057786.98037785</v>
      </c>
      <c r="D111" s="284">
        <f t="shared" si="49"/>
        <v>813067222.96410286</v>
      </c>
      <c r="E111" s="284">
        <f t="shared" si="49"/>
        <v>98177226.614243388</v>
      </c>
      <c r="F111" s="255"/>
      <c r="G111" s="255">
        <v>2048</v>
      </c>
      <c r="H111" s="284">
        <f t="shared" si="60"/>
        <v>1170420731.1536293</v>
      </c>
      <c r="I111" s="284">
        <f t="shared" si="50"/>
        <v>262188283.21019959</v>
      </c>
      <c r="J111" s="284">
        <f t="shared" si="50"/>
        <v>810379733.55772221</v>
      </c>
      <c r="K111" s="284">
        <f t="shared" si="50"/>
        <v>97852714.385707453</v>
      </c>
      <c r="L111" s="255"/>
      <c r="M111" s="255">
        <v>2048</v>
      </c>
      <c r="N111" s="284">
        <f t="shared" si="55"/>
        <v>3881505.4050946236</v>
      </c>
      <c r="O111" s="284">
        <f t="shared" si="56"/>
        <v>869503.77017825842</v>
      </c>
      <c r="P111" s="284">
        <f t="shared" si="57"/>
        <v>2687489.4063806534</v>
      </c>
      <c r="Q111" s="284">
        <f t="shared" si="58"/>
        <v>324512.22853593528</v>
      </c>
      <c r="S111" s="313">
        <f>'BCA Summary Discounted'!B30</f>
        <v>6.6488383637540798</v>
      </c>
    </row>
    <row r="112" spans="1:19" s="55" customFormat="1">
      <c r="A112" s="55">
        <v>2049</v>
      </c>
      <c r="B112" s="284">
        <f t="shared" ref="B112:B117" si="61">SUM(C112:E112)</f>
        <v>1101065829.9825995</v>
      </c>
      <c r="C112" s="284">
        <f t="shared" ref="C112:E112" si="62">C70/$S112</f>
        <v>246651953.42191717</v>
      </c>
      <c r="D112" s="284">
        <f t="shared" si="62"/>
        <v>762359560.26798248</v>
      </c>
      <c r="E112" s="284">
        <f t="shared" si="62"/>
        <v>92054316.292699888</v>
      </c>
      <c r="F112" s="255"/>
      <c r="G112" s="255">
        <v>2049</v>
      </c>
      <c r="H112" s="284">
        <f t="shared" ref="H112:H117" si="63">SUM(I112:K112)</f>
        <v>1097351974.3245108</v>
      </c>
      <c r="I112" s="284">
        <f t="shared" ref="I112:K112" si="64">I70/$S112</f>
        <v>245820005.20606071</v>
      </c>
      <c r="J112" s="284">
        <f t="shared" si="64"/>
        <v>759788148.74171245</v>
      </c>
      <c r="K112" s="284">
        <f t="shared" si="64"/>
        <v>91743820.376737684</v>
      </c>
      <c r="L112" s="255"/>
      <c r="M112" s="255">
        <v>2049</v>
      </c>
      <c r="N112" s="284">
        <f t="shared" ref="N112:N117" si="65">B112-H112</f>
        <v>3713855.6580886841</v>
      </c>
      <c r="O112" s="284">
        <f t="shared" ref="O112:O117" si="66">C112-I112</f>
        <v>831948.21585646272</v>
      </c>
      <c r="P112" s="284">
        <f t="shared" ref="P112:P117" si="67">D112-J112</f>
        <v>2571411.5262700319</v>
      </c>
      <c r="Q112" s="284">
        <f t="shared" ref="Q112:Q117" si="68">E112-K112</f>
        <v>310495.91596220434</v>
      </c>
      <c r="S112" s="313">
        <f>'BCA Summary Discounted'!B31</f>
        <v>7.1142570492168655</v>
      </c>
    </row>
    <row r="113" spans="1:19" s="55" customFormat="1">
      <c r="A113" s="55">
        <v>2050</v>
      </c>
      <c r="B113" s="284">
        <f t="shared" si="61"/>
        <v>1032397027.6842967</v>
      </c>
      <c r="C113" s="284">
        <f t="shared" ref="C113:E113" si="69">C71/$S113</f>
        <v>231269318.0110195</v>
      </c>
      <c r="D113" s="284">
        <f t="shared" si="69"/>
        <v>714814430.35954595</v>
      </c>
      <c r="E113" s="284">
        <f t="shared" si="69"/>
        <v>86313279.313731298</v>
      </c>
      <c r="F113" s="255"/>
      <c r="G113" s="255">
        <v>2050</v>
      </c>
      <c r="H113" s="284">
        <f t="shared" si="63"/>
        <v>1028845038.6257417</v>
      </c>
      <c r="I113" s="284">
        <f t="shared" ref="I113:K113" si="70">I71/$S113</f>
        <v>230473629.85508087</v>
      </c>
      <c r="J113" s="284">
        <f t="shared" si="70"/>
        <v>712355092.55882657</v>
      </c>
      <c r="K113" s="284">
        <f t="shared" si="70"/>
        <v>86016316.211834297</v>
      </c>
      <c r="L113" s="255"/>
      <c r="M113" s="255">
        <v>2050</v>
      </c>
      <c r="N113" s="284">
        <f t="shared" si="65"/>
        <v>3551989.058555007</v>
      </c>
      <c r="O113" s="284">
        <f t="shared" si="66"/>
        <v>795688.15593862534</v>
      </c>
      <c r="P113" s="284">
        <f t="shared" si="67"/>
        <v>2459337.8007193804</v>
      </c>
      <c r="Q113" s="284">
        <f t="shared" si="68"/>
        <v>296963.10189700127</v>
      </c>
      <c r="S113" s="313">
        <f>'BCA Summary Discounted'!B32</f>
        <v>7.6122550426620466</v>
      </c>
    </row>
    <row r="114" spans="1:19" s="55" customFormat="1">
      <c r="A114" s="55">
        <v>2051</v>
      </c>
      <c r="B114" s="284">
        <f t="shared" si="61"/>
        <v>964857035.21896887</v>
      </c>
      <c r="C114" s="284">
        <f t="shared" ref="C114:E114" si="71">C72/$S114</f>
        <v>216139549.54300886</v>
      </c>
      <c r="D114" s="284">
        <f t="shared" si="71"/>
        <v>668050869.49490273</v>
      </c>
      <c r="E114" s="284">
        <f t="shared" si="71"/>
        <v>80666616.181057274</v>
      </c>
      <c r="F114" s="255"/>
      <c r="G114" s="255">
        <v>2051</v>
      </c>
      <c r="H114" s="284">
        <f t="shared" si="63"/>
        <v>961537419.27639401</v>
      </c>
      <c r="I114" s="284">
        <f t="shared" ref="I114:K114" si="72">I72/$S114</f>
        <v>215395915.75241202</v>
      </c>
      <c r="J114" s="284">
        <f t="shared" si="72"/>
        <v>665752422.95217431</v>
      </c>
      <c r="K114" s="284">
        <f t="shared" si="72"/>
        <v>80389080.571807742</v>
      </c>
      <c r="L114" s="255"/>
      <c r="M114" s="255">
        <v>2051</v>
      </c>
      <c r="N114" s="284">
        <f t="shared" si="65"/>
        <v>3319615.9425748587</v>
      </c>
      <c r="O114" s="284">
        <f t="shared" si="66"/>
        <v>743633.79059684277</v>
      </c>
      <c r="P114" s="284">
        <f t="shared" si="67"/>
        <v>2298446.5427284241</v>
      </c>
      <c r="Q114" s="284">
        <f t="shared" si="68"/>
        <v>277535.60924953222</v>
      </c>
      <c r="S114" s="313">
        <f>'BCA Summary Discounted'!B33</f>
        <v>8.1451128956483902</v>
      </c>
    </row>
    <row r="115" spans="1:19" s="55" customFormat="1">
      <c r="A115" s="55">
        <v>2052</v>
      </c>
      <c r="B115" s="284">
        <f t="shared" si="61"/>
        <v>901735546.93361568</v>
      </c>
      <c r="C115" s="284">
        <f t="shared" ref="C115:E115" si="73">C73/$S115</f>
        <v>201999579.0121578</v>
      </c>
      <c r="D115" s="284">
        <f t="shared" si="73"/>
        <v>624346607.00458193</v>
      </c>
      <c r="E115" s="284">
        <f t="shared" si="73"/>
        <v>75389360.916875944</v>
      </c>
      <c r="F115" s="255"/>
      <c r="G115" s="255">
        <v>2052</v>
      </c>
      <c r="H115" s="284">
        <f t="shared" si="63"/>
        <v>898633102.12747097</v>
      </c>
      <c r="I115" s="284">
        <f t="shared" ref="I115:K115" si="74">I73/$S115</f>
        <v>201304594.16113272</v>
      </c>
      <c r="J115" s="284">
        <f t="shared" si="74"/>
        <v>622198526.12352729</v>
      </c>
      <c r="K115" s="284">
        <f t="shared" si="74"/>
        <v>75129981.842810974</v>
      </c>
      <c r="L115" s="255"/>
      <c r="M115" s="255">
        <v>2052</v>
      </c>
      <c r="N115" s="284">
        <f t="shared" si="65"/>
        <v>3102444.8061447144</v>
      </c>
      <c r="O115" s="284">
        <f t="shared" si="66"/>
        <v>694984.85102507472</v>
      </c>
      <c r="P115" s="284">
        <f t="shared" si="67"/>
        <v>2148080.8810546398</v>
      </c>
      <c r="Q115" s="284">
        <f t="shared" si="68"/>
        <v>259379.07406497002</v>
      </c>
      <c r="S115" s="313">
        <f>'BCA Summary Discounted'!B34</f>
        <v>8.7152707983437789</v>
      </c>
    </row>
    <row r="116" spans="1:19" s="55" customFormat="1">
      <c r="A116" s="55">
        <v>2053</v>
      </c>
      <c r="B116" s="284">
        <f t="shared" si="61"/>
        <v>842743501.80711734</v>
      </c>
      <c r="C116" s="284">
        <f t="shared" ref="C116:E116" si="75">C74/$S116</f>
        <v>188784653.28239045</v>
      </c>
      <c r="D116" s="284">
        <f t="shared" si="75"/>
        <v>583501501.87344098</v>
      </c>
      <c r="E116" s="284">
        <f t="shared" si="75"/>
        <v>70457346.651285931</v>
      </c>
      <c r="F116" s="255"/>
      <c r="G116" s="255">
        <v>2053</v>
      </c>
      <c r="H116" s="284">
        <f t="shared" si="63"/>
        <v>839844020.67987943</v>
      </c>
      <c r="I116" s="284">
        <f t="shared" ref="I116:K116" si="76">I74/$S116</f>
        <v>188135134.73003057</v>
      </c>
      <c r="J116" s="284">
        <f t="shared" si="76"/>
        <v>581493949.6481564</v>
      </c>
      <c r="K116" s="284">
        <f t="shared" si="76"/>
        <v>70214936.301692486</v>
      </c>
      <c r="L116" s="255"/>
      <c r="M116" s="255">
        <v>2053</v>
      </c>
      <c r="N116" s="284">
        <f t="shared" si="65"/>
        <v>2899481.127237916</v>
      </c>
      <c r="O116" s="284">
        <f t="shared" si="66"/>
        <v>649518.55235987902</v>
      </c>
      <c r="P116" s="284">
        <f t="shared" si="67"/>
        <v>2007552.2252845764</v>
      </c>
      <c r="Q116" s="284">
        <f t="shared" si="68"/>
        <v>242410.34959344566</v>
      </c>
      <c r="S116" s="313">
        <f>'BCA Summary Discounted'!B35</f>
        <v>9.3253397542278442</v>
      </c>
    </row>
    <row r="117" spans="1:19" s="55" customFormat="1">
      <c r="A117" s="55">
        <v>2054</v>
      </c>
      <c r="B117" s="284" t="e">
        <f t="shared" si="61"/>
        <v>#REF!</v>
      </c>
      <c r="C117" s="284" t="e">
        <f t="shared" ref="C117:E117" si="77">C75/$S117</f>
        <v>#REF!</v>
      </c>
      <c r="D117" s="284" t="e">
        <f t="shared" si="77"/>
        <v>#REF!</v>
      </c>
      <c r="E117" s="284" t="e">
        <f t="shared" si="77"/>
        <v>#REF!</v>
      </c>
      <c r="F117" s="255"/>
      <c r="G117" s="255">
        <v>2054</v>
      </c>
      <c r="H117" s="284" t="e">
        <f t="shared" si="63"/>
        <v>#REF!</v>
      </c>
      <c r="I117" s="284" t="e">
        <f t="shared" ref="I117:K117" si="78">I75/$S117</f>
        <v>#REF!</v>
      </c>
      <c r="J117" s="284" t="e">
        <f t="shared" si="78"/>
        <v>#REF!</v>
      </c>
      <c r="K117" s="284" t="e">
        <f t="shared" si="78"/>
        <v>#REF!</v>
      </c>
      <c r="L117" s="255"/>
      <c r="M117" s="255">
        <v>2054</v>
      </c>
      <c r="N117" s="284" t="e">
        <f t="shared" si="65"/>
        <v>#REF!</v>
      </c>
      <c r="O117" s="284" t="e">
        <f t="shared" si="66"/>
        <v>#REF!</v>
      </c>
      <c r="P117" s="284" t="e">
        <f t="shared" si="67"/>
        <v>#REF!</v>
      </c>
      <c r="Q117" s="284" t="e">
        <f t="shared" si="68"/>
        <v>#REF!</v>
      </c>
      <c r="S117" s="313" t="e">
        <f>'BCA Summary Discounted'!#REF!</f>
        <v>#REF!</v>
      </c>
    </row>
    <row r="118" spans="1:19" s="55" customFormat="1">
      <c r="B118" s="284"/>
      <c r="C118" s="284"/>
      <c r="D118" s="284"/>
      <c r="E118" s="284"/>
      <c r="F118" s="255"/>
      <c r="G118" s="255"/>
      <c r="H118" s="284"/>
      <c r="I118" s="284"/>
      <c r="J118" s="284"/>
      <c r="K118" s="284"/>
      <c r="L118" s="255"/>
      <c r="M118" s="255"/>
      <c r="N118" s="284"/>
      <c r="O118" s="284"/>
      <c r="P118" s="284"/>
      <c r="Q118" s="284"/>
    </row>
    <row r="119" spans="1:19" s="55" customFormat="1">
      <c r="B119" s="284"/>
      <c r="C119" s="284"/>
      <c r="D119" s="284"/>
      <c r="E119" s="284"/>
      <c r="F119" s="255"/>
      <c r="G119" s="255"/>
      <c r="H119" s="284"/>
      <c r="I119" s="284"/>
      <c r="J119" s="284"/>
      <c r="K119" s="284"/>
      <c r="L119" s="255"/>
      <c r="M119" s="255"/>
      <c r="N119" s="284"/>
      <c r="O119" s="284"/>
      <c r="P119" s="284"/>
      <c r="Q119" s="284"/>
    </row>
    <row r="120" spans="1:19" s="55" customFormat="1">
      <c r="B120" s="284"/>
      <c r="C120" s="284"/>
      <c r="D120" s="284"/>
      <c r="E120" s="284"/>
      <c r="F120" s="255"/>
      <c r="G120" s="255"/>
      <c r="H120" s="284"/>
      <c r="I120" s="284"/>
      <c r="J120" s="284"/>
      <c r="K120" s="284"/>
      <c r="L120" s="255"/>
      <c r="M120" s="255"/>
      <c r="N120" s="284"/>
      <c r="O120" s="284"/>
      <c r="P120" s="284"/>
      <c r="Q120" s="284"/>
    </row>
    <row r="121" spans="1:19" s="55" customFormat="1">
      <c r="B121" s="284"/>
      <c r="C121" s="284"/>
      <c r="D121" s="284"/>
      <c r="E121" s="284"/>
      <c r="F121" s="255"/>
      <c r="G121" s="255"/>
      <c r="H121" s="284"/>
      <c r="I121" s="284"/>
      <c r="J121" s="284"/>
      <c r="K121" s="284"/>
      <c r="L121" s="255"/>
      <c r="M121" s="255"/>
      <c r="N121" s="284"/>
      <c r="O121" s="284"/>
      <c r="P121" s="284"/>
      <c r="Q121" s="284"/>
    </row>
    <row r="122" spans="1:19" s="55" customFormat="1">
      <c r="B122" s="255"/>
      <c r="C122" s="255"/>
      <c r="D122" s="255"/>
      <c r="E122" s="255"/>
      <c r="F122" s="255"/>
      <c r="G122" s="255"/>
      <c r="H122" s="255"/>
      <c r="I122" s="255"/>
      <c r="J122" s="255"/>
      <c r="K122" s="255"/>
      <c r="L122" s="255"/>
      <c r="M122" s="255"/>
      <c r="N122" s="255"/>
      <c r="O122" s="255"/>
      <c r="P122" s="255"/>
      <c r="Q122" s="255"/>
    </row>
    <row r="123" spans="1:19" s="55" customFormat="1">
      <c r="B123" s="255"/>
      <c r="C123" s="255"/>
      <c r="D123" s="255"/>
      <c r="E123" s="255"/>
      <c r="F123" s="255"/>
      <c r="G123" s="255"/>
      <c r="H123" s="255"/>
      <c r="I123" s="255"/>
      <c r="J123" s="255"/>
      <c r="K123" s="255"/>
      <c r="L123" s="255"/>
      <c r="M123" s="255"/>
      <c r="N123" s="255"/>
      <c r="O123" s="255"/>
      <c r="P123" s="255"/>
      <c r="Q123" s="255"/>
    </row>
    <row r="124" spans="1:19" s="182" customFormat="1">
      <c r="B124" s="161"/>
      <c r="C124" s="161"/>
      <c r="D124" s="161"/>
      <c r="E124" s="161"/>
      <c r="F124" s="161"/>
      <c r="G124" s="161"/>
      <c r="H124" s="161"/>
      <c r="I124" s="161"/>
      <c r="J124" s="161"/>
      <c r="K124" s="161"/>
      <c r="L124" s="161"/>
      <c r="M124" s="161"/>
      <c r="N124" s="161"/>
      <c r="O124" s="161"/>
      <c r="P124" s="161"/>
      <c r="Q124" s="161"/>
    </row>
    <row r="125" spans="1:19" s="182" customFormat="1">
      <c r="B125" s="161"/>
      <c r="C125" s="161"/>
      <c r="D125" s="161"/>
      <c r="E125" s="161"/>
      <c r="F125" s="161"/>
      <c r="G125" s="161"/>
      <c r="H125" s="161"/>
      <c r="I125" s="161"/>
      <c r="J125" s="161"/>
      <c r="K125" s="161"/>
      <c r="L125" s="161"/>
      <c r="M125" s="161"/>
      <c r="N125" s="161"/>
      <c r="O125" s="161"/>
      <c r="P125" s="161"/>
      <c r="Q125" s="161"/>
    </row>
    <row r="126" spans="1:19" s="182" customFormat="1">
      <c r="B126" s="161"/>
      <c r="C126" s="161"/>
      <c r="D126" s="161"/>
      <c r="E126" s="161"/>
      <c r="F126" s="161"/>
      <c r="G126" s="161"/>
      <c r="H126" s="161"/>
      <c r="I126" s="161"/>
      <c r="J126" s="161"/>
      <c r="K126" s="161"/>
      <c r="L126" s="161"/>
      <c r="M126" s="161"/>
      <c r="N126" s="161"/>
      <c r="O126" s="161"/>
      <c r="P126" s="161"/>
      <c r="Q126" s="161"/>
    </row>
    <row r="127" spans="1:19" s="182" customFormat="1">
      <c r="B127" s="161"/>
      <c r="C127" s="161"/>
      <c r="D127" s="161"/>
      <c r="E127" s="161"/>
      <c r="F127" s="161"/>
      <c r="G127" s="161"/>
      <c r="H127" s="161"/>
      <c r="I127" s="161"/>
      <c r="J127" s="161"/>
      <c r="K127" s="161"/>
      <c r="L127" s="161"/>
      <c r="M127" s="161"/>
      <c r="N127" s="161"/>
      <c r="O127" s="161"/>
      <c r="P127" s="161"/>
      <c r="Q127" s="161"/>
    </row>
    <row r="128" spans="1:19" s="182" customFormat="1">
      <c r="B128" s="161"/>
      <c r="C128" s="161"/>
      <c r="D128" s="161"/>
      <c r="E128" s="161"/>
      <c r="F128" s="161"/>
      <c r="G128" s="161"/>
      <c r="H128" s="161"/>
      <c r="I128" s="161"/>
      <c r="J128" s="161"/>
      <c r="K128" s="161"/>
      <c r="L128" s="161"/>
      <c r="M128" s="161"/>
      <c r="N128" s="161"/>
      <c r="O128" s="161"/>
      <c r="P128" s="161"/>
      <c r="Q128" s="161"/>
    </row>
    <row r="129" spans="2:17" s="182" customFormat="1">
      <c r="B129" s="161"/>
      <c r="C129" s="161"/>
      <c r="D129" s="161"/>
      <c r="E129" s="161"/>
      <c r="F129" s="161"/>
      <c r="G129" s="161"/>
      <c r="H129" s="161"/>
      <c r="I129" s="161"/>
      <c r="J129" s="161"/>
      <c r="K129" s="161"/>
      <c r="L129" s="161"/>
      <c r="M129" s="161"/>
      <c r="N129" s="161"/>
      <c r="O129" s="161"/>
      <c r="P129" s="161"/>
      <c r="Q129" s="161"/>
    </row>
    <row r="130" spans="2:17" s="182" customFormat="1">
      <c r="B130" s="161"/>
      <c r="C130" s="161"/>
      <c r="D130" s="161"/>
      <c r="E130" s="161"/>
      <c r="F130" s="161"/>
      <c r="G130" s="161"/>
      <c r="H130" s="161"/>
      <c r="I130" s="161"/>
      <c r="J130" s="161"/>
      <c r="K130" s="161"/>
      <c r="L130" s="161"/>
      <c r="M130" s="161"/>
      <c r="N130" s="161"/>
      <c r="O130" s="161"/>
      <c r="P130" s="161"/>
      <c r="Q130" s="161"/>
    </row>
    <row r="131" spans="2:17" s="182" customFormat="1">
      <c r="B131" s="161"/>
      <c r="C131" s="161"/>
      <c r="D131" s="288"/>
      <c r="E131" s="161"/>
      <c r="F131" s="161"/>
      <c r="G131" s="161"/>
      <c r="H131" s="161"/>
      <c r="I131" s="161"/>
      <c r="J131" s="161"/>
      <c r="K131" s="161"/>
      <c r="L131" s="161"/>
      <c r="M131" s="161"/>
      <c r="N131" s="161"/>
      <c r="O131" s="161"/>
      <c r="P131" s="161"/>
      <c r="Q131" s="161"/>
    </row>
    <row r="132" spans="2:17" s="182" customFormat="1">
      <c r="B132" s="161"/>
      <c r="C132" s="161"/>
      <c r="D132" s="161"/>
      <c r="E132" s="161"/>
      <c r="F132" s="161"/>
      <c r="G132" s="161"/>
      <c r="H132" s="161"/>
      <c r="I132" s="161"/>
      <c r="J132" s="161"/>
      <c r="K132" s="161"/>
      <c r="L132" s="161"/>
      <c r="M132" s="161"/>
      <c r="N132" s="161"/>
      <c r="O132" s="161"/>
      <c r="P132" s="161"/>
      <c r="Q132" s="161"/>
    </row>
    <row r="133" spans="2:17" s="182" customFormat="1">
      <c r="B133" s="161"/>
      <c r="C133" s="161"/>
      <c r="D133" s="161"/>
      <c r="E133" s="161"/>
      <c r="F133" s="161"/>
      <c r="G133" s="161"/>
      <c r="H133" s="161"/>
      <c r="I133" s="161"/>
      <c r="J133" s="161"/>
      <c r="K133" s="161"/>
      <c r="L133" s="161"/>
      <c r="M133" s="161"/>
      <c r="N133" s="161"/>
      <c r="O133" s="161"/>
      <c r="P133" s="161"/>
      <c r="Q133" s="161"/>
    </row>
    <row r="134" spans="2:17" s="182" customFormat="1">
      <c r="B134" s="161"/>
      <c r="C134" s="161"/>
      <c r="D134" s="161"/>
      <c r="E134" s="161"/>
      <c r="F134" s="161"/>
      <c r="G134" s="161"/>
      <c r="H134" s="161"/>
      <c r="I134" s="161"/>
      <c r="J134" s="161"/>
      <c r="K134" s="161"/>
      <c r="L134" s="161"/>
      <c r="M134" s="161"/>
      <c r="N134" s="161"/>
      <c r="O134" s="161"/>
      <c r="P134" s="161"/>
      <c r="Q134" s="161"/>
    </row>
    <row r="135" spans="2:17" s="182" customFormat="1">
      <c r="B135" s="161"/>
      <c r="C135" s="161"/>
      <c r="D135" s="161"/>
      <c r="E135" s="161"/>
      <c r="F135" s="161"/>
      <c r="G135" s="161"/>
      <c r="H135" s="161"/>
      <c r="I135" s="161"/>
      <c r="J135" s="161"/>
      <c r="K135" s="161"/>
      <c r="L135" s="161"/>
      <c r="M135" s="161"/>
      <c r="N135" s="161"/>
      <c r="O135" s="161"/>
      <c r="P135" s="161"/>
      <c r="Q135" s="161"/>
    </row>
    <row r="136" spans="2:17" s="182" customFormat="1">
      <c r="B136" s="161"/>
      <c r="C136" s="161"/>
      <c r="D136" s="161"/>
      <c r="E136" s="161"/>
      <c r="F136" s="161"/>
      <c r="G136" s="161"/>
      <c r="H136" s="161"/>
      <c r="I136" s="161"/>
      <c r="J136" s="161"/>
      <c r="K136" s="161"/>
      <c r="L136" s="161"/>
      <c r="M136" s="161"/>
      <c r="N136" s="161"/>
      <c r="O136" s="161"/>
      <c r="P136" s="161"/>
      <c r="Q136" s="161"/>
    </row>
    <row r="137" spans="2:17" s="182" customFormat="1">
      <c r="B137" s="161"/>
      <c r="C137" s="161"/>
      <c r="D137" s="161"/>
      <c r="E137" s="161"/>
      <c r="F137" s="161"/>
      <c r="G137" s="161"/>
      <c r="H137" s="161"/>
      <c r="I137" s="161"/>
      <c r="J137" s="161"/>
      <c r="K137" s="161"/>
      <c r="L137" s="161"/>
      <c r="M137" s="161"/>
      <c r="N137" s="161"/>
      <c r="O137" s="161"/>
      <c r="P137" s="161"/>
      <c r="Q137" s="161"/>
    </row>
    <row r="138" spans="2:17" s="182" customFormat="1">
      <c r="B138" s="161"/>
      <c r="C138" s="161"/>
      <c r="D138" s="161"/>
      <c r="E138" s="161"/>
      <c r="F138" s="161"/>
      <c r="G138" s="161"/>
      <c r="H138" s="161"/>
      <c r="I138" s="161"/>
      <c r="J138" s="161"/>
      <c r="K138" s="161"/>
      <c r="L138" s="161"/>
      <c r="M138" s="161"/>
      <c r="N138" s="161"/>
      <c r="O138" s="161"/>
      <c r="P138" s="161"/>
      <c r="Q138" s="161"/>
    </row>
    <row r="139" spans="2:17" s="182" customFormat="1">
      <c r="B139" s="161"/>
      <c r="C139" s="161"/>
      <c r="D139" s="161"/>
      <c r="E139" s="161"/>
      <c r="F139" s="161"/>
      <c r="G139" s="161"/>
      <c r="H139" s="161"/>
      <c r="I139" s="161"/>
      <c r="J139" s="161"/>
      <c r="K139" s="161"/>
      <c r="L139" s="161"/>
      <c r="M139" s="161"/>
      <c r="N139" s="161"/>
      <c r="O139" s="161"/>
      <c r="P139" s="161"/>
      <c r="Q139" s="161"/>
    </row>
    <row r="140" spans="2:17" s="182" customFormat="1">
      <c r="B140" s="161"/>
      <c r="C140" s="161"/>
      <c r="D140" s="161"/>
      <c r="E140" s="161"/>
      <c r="F140" s="161"/>
      <c r="G140" s="161"/>
      <c r="H140" s="161"/>
      <c r="I140" s="161"/>
      <c r="J140" s="161"/>
      <c r="K140" s="161"/>
      <c r="L140" s="161"/>
      <c r="M140" s="161"/>
      <c r="N140" s="161"/>
      <c r="O140" s="161"/>
      <c r="P140" s="161"/>
      <c r="Q140" s="161"/>
    </row>
    <row r="141" spans="2:17" s="182" customFormat="1">
      <c r="B141" s="161"/>
      <c r="C141" s="161"/>
      <c r="D141" s="161"/>
      <c r="E141" s="161"/>
      <c r="F141" s="161"/>
      <c r="G141" s="161"/>
      <c r="H141" s="161"/>
      <c r="I141" s="161"/>
      <c r="J141" s="161"/>
      <c r="K141" s="161"/>
      <c r="L141" s="161"/>
      <c r="M141" s="161"/>
      <c r="N141" s="161"/>
      <c r="O141" s="161"/>
      <c r="P141" s="161"/>
      <c r="Q141" s="161"/>
    </row>
    <row r="142" spans="2:17" s="182" customFormat="1">
      <c r="B142" s="161"/>
      <c r="C142" s="161"/>
      <c r="D142" s="161"/>
      <c r="E142" s="161"/>
      <c r="F142" s="161"/>
      <c r="G142" s="161"/>
      <c r="H142" s="161"/>
      <c r="I142" s="161"/>
      <c r="J142" s="161"/>
      <c r="K142" s="161"/>
      <c r="L142" s="161"/>
      <c r="M142" s="161"/>
      <c r="N142" s="161"/>
      <c r="O142" s="161"/>
      <c r="P142" s="161"/>
      <c r="Q142" s="161"/>
    </row>
    <row r="143" spans="2:17" s="182" customFormat="1">
      <c r="B143" s="161"/>
      <c r="C143" s="161"/>
      <c r="D143" s="161"/>
      <c r="E143" s="161"/>
      <c r="F143" s="161"/>
      <c r="G143" s="161"/>
      <c r="H143" s="161"/>
      <c r="I143" s="161"/>
      <c r="J143" s="161"/>
      <c r="K143" s="161"/>
      <c r="L143" s="161"/>
      <c r="M143" s="161"/>
      <c r="N143" s="161"/>
      <c r="O143" s="161"/>
      <c r="P143" s="161"/>
      <c r="Q143" s="161"/>
    </row>
    <row r="144" spans="2:17" s="182" customFormat="1">
      <c r="B144" s="161"/>
      <c r="C144" s="161"/>
      <c r="D144" s="161"/>
      <c r="E144" s="161"/>
      <c r="F144" s="161"/>
      <c r="G144" s="161"/>
      <c r="H144" s="161"/>
      <c r="I144" s="161"/>
      <c r="J144" s="161"/>
      <c r="K144" s="161"/>
      <c r="L144" s="161"/>
      <c r="M144" s="161"/>
      <c r="N144" s="161"/>
      <c r="O144" s="161"/>
      <c r="P144" s="161"/>
      <c r="Q144" s="161"/>
    </row>
    <row r="145" spans="2:17" s="182" customFormat="1">
      <c r="B145" s="161"/>
      <c r="C145" s="161"/>
      <c r="D145" s="161"/>
      <c r="E145" s="161"/>
      <c r="F145" s="161"/>
      <c r="G145" s="161"/>
      <c r="H145" s="161"/>
      <c r="I145" s="161"/>
      <c r="J145" s="161"/>
      <c r="K145" s="161"/>
      <c r="L145" s="161"/>
      <c r="M145" s="161"/>
      <c r="N145" s="161"/>
      <c r="O145" s="161"/>
      <c r="P145" s="161"/>
      <c r="Q145" s="161"/>
    </row>
    <row r="146" spans="2:17" s="182" customFormat="1">
      <c r="B146" s="161"/>
      <c r="C146" s="161"/>
      <c r="D146" s="161"/>
      <c r="E146" s="161"/>
      <c r="F146" s="161"/>
      <c r="G146" s="161"/>
      <c r="H146" s="161"/>
      <c r="I146" s="161"/>
      <c r="J146" s="161"/>
      <c r="K146" s="161"/>
      <c r="L146" s="161"/>
      <c r="M146" s="161"/>
      <c r="N146" s="161"/>
      <c r="O146" s="161"/>
      <c r="P146" s="161"/>
      <c r="Q146" s="161"/>
    </row>
    <row r="147" spans="2:17" s="182" customFormat="1">
      <c r="B147" s="161"/>
      <c r="C147" s="161"/>
      <c r="D147" s="161"/>
      <c r="E147" s="161"/>
      <c r="F147" s="161"/>
      <c r="G147" s="161"/>
      <c r="H147" s="161"/>
      <c r="I147" s="161"/>
      <c r="J147" s="161"/>
      <c r="K147" s="161"/>
      <c r="L147" s="161"/>
      <c r="M147" s="161"/>
      <c r="N147" s="161"/>
      <c r="O147" s="161"/>
      <c r="P147" s="161"/>
      <c r="Q147" s="161"/>
    </row>
    <row r="148" spans="2:17" s="182" customFormat="1">
      <c r="B148" s="161"/>
      <c r="C148" s="161"/>
      <c r="D148" s="161"/>
      <c r="E148" s="161"/>
      <c r="F148" s="161"/>
      <c r="G148" s="161"/>
      <c r="H148" s="161"/>
      <c r="I148" s="161"/>
      <c r="J148" s="161"/>
      <c r="K148" s="161"/>
      <c r="L148" s="161"/>
      <c r="M148" s="161"/>
      <c r="N148" s="161"/>
      <c r="O148" s="161"/>
      <c r="P148" s="161"/>
      <c r="Q148" s="161"/>
    </row>
    <row r="149" spans="2:17" s="182" customFormat="1">
      <c r="B149" s="161"/>
      <c r="C149" s="161"/>
      <c r="D149" s="161"/>
      <c r="E149" s="161"/>
      <c r="F149" s="161"/>
      <c r="G149" s="161"/>
      <c r="H149" s="161"/>
      <c r="I149" s="161"/>
      <c r="J149" s="161"/>
      <c r="K149" s="161"/>
      <c r="L149" s="161"/>
      <c r="M149" s="161"/>
      <c r="N149" s="161"/>
      <c r="O149" s="161"/>
      <c r="P149" s="161"/>
      <c r="Q149" s="161"/>
    </row>
    <row r="150" spans="2:17" s="182" customFormat="1">
      <c r="B150" s="161"/>
      <c r="C150" s="161"/>
      <c r="D150" s="161"/>
      <c r="E150" s="161"/>
      <c r="F150" s="161"/>
      <c r="G150" s="161"/>
      <c r="H150" s="161"/>
      <c r="I150" s="161"/>
      <c r="J150" s="161"/>
      <c r="K150" s="161"/>
      <c r="L150" s="161"/>
      <c r="M150" s="161"/>
      <c r="N150" s="161"/>
      <c r="O150" s="161"/>
      <c r="P150" s="161"/>
      <c r="Q150" s="161"/>
    </row>
    <row r="151" spans="2:17" s="182" customFormat="1">
      <c r="B151" s="161"/>
      <c r="C151" s="161"/>
      <c r="D151" s="161"/>
      <c r="E151" s="161"/>
      <c r="F151" s="161"/>
      <c r="G151" s="161"/>
      <c r="H151" s="161"/>
      <c r="I151" s="161"/>
      <c r="J151" s="161"/>
      <c r="K151" s="161"/>
      <c r="L151" s="161"/>
      <c r="M151" s="161"/>
      <c r="N151" s="161"/>
      <c r="O151" s="161"/>
      <c r="P151" s="161"/>
      <c r="Q151" s="161"/>
    </row>
    <row r="152" spans="2:17" s="182" customFormat="1">
      <c r="B152" s="161"/>
      <c r="C152" s="161"/>
      <c r="D152" s="161"/>
      <c r="E152" s="161"/>
      <c r="F152" s="161"/>
      <c r="G152" s="161"/>
      <c r="H152" s="161"/>
      <c r="I152" s="161"/>
      <c r="J152" s="161"/>
      <c r="K152" s="161"/>
      <c r="L152" s="161"/>
      <c r="M152" s="161"/>
      <c r="N152" s="161"/>
      <c r="O152" s="161"/>
      <c r="P152" s="161"/>
      <c r="Q152" s="161"/>
    </row>
    <row r="153" spans="2:17" s="182" customFormat="1">
      <c r="B153" s="161"/>
      <c r="C153" s="161"/>
      <c r="D153" s="161"/>
      <c r="E153" s="161"/>
      <c r="F153" s="161"/>
      <c r="G153" s="161"/>
      <c r="H153" s="161"/>
      <c r="I153" s="161"/>
      <c r="J153" s="161"/>
      <c r="K153" s="161"/>
      <c r="L153" s="161"/>
      <c r="M153" s="161"/>
      <c r="N153" s="161"/>
      <c r="O153" s="161"/>
      <c r="P153" s="161"/>
      <c r="Q153" s="161"/>
    </row>
    <row r="154" spans="2:17" s="182" customFormat="1">
      <c r="B154" s="161"/>
      <c r="C154" s="161"/>
      <c r="D154" s="161"/>
      <c r="E154" s="161"/>
      <c r="F154" s="161"/>
      <c r="G154" s="161"/>
      <c r="H154" s="161"/>
      <c r="I154" s="161"/>
      <c r="J154" s="161"/>
      <c r="K154" s="161"/>
      <c r="L154" s="161"/>
      <c r="M154" s="161"/>
      <c r="N154" s="161"/>
      <c r="O154" s="161"/>
      <c r="P154" s="161"/>
      <c r="Q154" s="161"/>
    </row>
    <row r="155" spans="2:17" s="182" customFormat="1">
      <c r="B155" s="161"/>
      <c r="C155" s="161"/>
      <c r="D155" s="161"/>
      <c r="E155" s="161"/>
      <c r="F155" s="161"/>
      <c r="G155" s="161"/>
      <c r="H155" s="161"/>
      <c r="I155" s="161"/>
      <c r="J155" s="161"/>
      <c r="K155" s="161"/>
      <c r="L155" s="161"/>
      <c r="M155" s="161"/>
      <c r="N155" s="161"/>
      <c r="O155" s="161"/>
      <c r="P155" s="161"/>
      <c r="Q155" s="161"/>
    </row>
    <row r="156" spans="2:17" s="182" customFormat="1">
      <c r="B156" s="161"/>
      <c r="C156" s="161"/>
      <c r="D156" s="161"/>
      <c r="E156" s="161"/>
      <c r="F156" s="161"/>
      <c r="G156" s="161"/>
      <c r="H156" s="161"/>
      <c r="I156" s="161"/>
      <c r="J156" s="161"/>
      <c r="K156" s="161"/>
      <c r="L156" s="161"/>
      <c r="M156" s="161"/>
      <c r="N156" s="161"/>
      <c r="O156" s="161"/>
      <c r="P156" s="161"/>
      <c r="Q156" s="161"/>
    </row>
    <row r="157" spans="2:17" s="182" customFormat="1">
      <c r="B157" s="161"/>
      <c r="C157" s="161"/>
      <c r="D157" s="161"/>
      <c r="E157" s="161"/>
      <c r="F157" s="161"/>
      <c r="G157" s="161"/>
      <c r="H157" s="161"/>
      <c r="I157" s="161"/>
      <c r="J157" s="161"/>
      <c r="K157" s="161"/>
      <c r="L157" s="161"/>
      <c r="M157" s="161"/>
      <c r="N157" s="161"/>
      <c r="O157" s="161"/>
      <c r="P157" s="161"/>
      <c r="Q157" s="161"/>
    </row>
    <row r="158" spans="2:17" s="182" customFormat="1">
      <c r="B158" s="161"/>
      <c r="C158" s="161"/>
      <c r="D158" s="161"/>
      <c r="E158" s="161"/>
      <c r="F158" s="161"/>
      <c r="G158" s="161"/>
      <c r="H158" s="161"/>
      <c r="I158" s="161"/>
      <c r="J158" s="161"/>
      <c r="K158" s="161"/>
      <c r="L158" s="161"/>
      <c r="M158" s="161"/>
      <c r="N158" s="161"/>
      <c r="O158" s="161"/>
      <c r="P158" s="161"/>
      <c r="Q158" s="161"/>
    </row>
    <row r="159" spans="2:17" s="182" customFormat="1">
      <c r="B159" s="161"/>
      <c r="C159" s="161"/>
      <c r="D159" s="161"/>
      <c r="E159" s="161"/>
      <c r="F159" s="161"/>
      <c r="G159" s="161"/>
      <c r="H159" s="161"/>
      <c r="I159" s="161"/>
      <c r="J159" s="161"/>
      <c r="K159" s="161"/>
      <c r="L159" s="161"/>
      <c r="M159" s="161"/>
      <c r="N159" s="161"/>
      <c r="O159" s="161"/>
      <c r="P159" s="161"/>
      <c r="Q159" s="161"/>
    </row>
    <row r="160" spans="2:17" s="182" customFormat="1">
      <c r="B160" s="161"/>
      <c r="C160" s="161"/>
      <c r="D160" s="161"/>
      <c r="E160" s="161"/>
      <c r="F160" s="161"/>
      <c r="G160" s="161"/>
      <c r="H160" s="161"/>
      <c r="I160" s="161"/>
      <c r="J160" s="161"/>
      <c r="K160" s="161"/>
      <c r="L160" s="161"/>
      <c r="M160" s="161"/>
      <c r="N160" s="161"/>
      <c r="O160" s="161"/>
      <c r="P160" s="161"/>
      <c r="Q160" s="161"/>
    </row>
    <row r="161" spans="2:17" s="182" customFormat="1">
      <c r="B161" s="161"/>
      <c r="C161" s="161"/>
      <c r="D161" s="161"/>
      <c r="E161" s="161"/>
      <c r="F161" s="161"/>
      <c r="G161" s="161"/>
      <c r="H161" s="161"/>
      <c r="I161" s="161"/>
      <c r="J161" s="161"/>
      <c r="K161" s="161"/>
      <c r="L161" s="161"/>
      <c r="M161" s="161"/>
      <c r="N161" s="161"/>
      <c r="O161" s="161"/>
      <c r="P161" s="161"/>
      <c r="Q161" s="161"/>
    </row>
    <row r="162" spans="2:17" s="182" customFormat="1">
      <c r="B162" s="161"/>
      <c r="C162" s="161"/>
      <c r="D162" s="161"/>
      <c r="E162" s="161"/>
      <c r="F162" s="161"/>
      <c r="G162" s="161"/>
      <c r="H162" s="161"/>
      <c r="I162" s="161"/>
      <c r="J162" s="161"/>
      <c r="K162" s="161"/>
      <c r="L162" s="161"/>
      <c r="M162" s="161"/>
      <c r="N162" s="161"/>
      <c r="O162" s="161"/>
      <c r="P162" s="161"/>
      <c r="Q162" s="161"/>
    </row>
    <row r="163" spans="2:17" s="182" customFormat="1">
      <c r="B163" s="161"/>
      <c r="C163" s="161"/>
      <c r="D163" s="161"/>
      <c r="E163" s="161"/>
      <c r="F163" s="161"/>
      <c r="G163" s="161"/>
      <c r="H163" s="161"/>
      <c r="I163" s="161"/>
      <c r="J163" s="161"/>
      <c r="K163" s="161"/>
      <c r="L163" s="161"/>
      <c r="M163" s="161"/>
      <c r="N163" s="161"/>
      <c r="O163" s="161"/>
      <c r="P163" s="161"/>
      <c r="Q163" s="161"/>
    </row>
    <row r="164" spans="2:17" s="182" customFormat="1">
      <c r="B164" s="161"/>
      <c r="C164" s="161"/>
      <c r="D164" s="161"/>
      <c r="E164" s="161"/>
      <c r="F164" s="161"/>
      <c r="G164" s="161"/>
      <c r="H164" s="161"/>
      <c r="I164" s="161"/>
      <c r="J164" s="161"/>
      <c r="K164" s="161"/>
      <c r="L164" s="161"/>
      <c r="M164" s="161"/>
      <c r="N164" s="161"/>
      <c r="O164" s="161"/>
      <c r="P164" s="161"/>
      <c r="Q164" s="161"/>
    </row>
  </sheetData>
  <mergeCells count="6">
    <mergeCell ref="M44:Q44"/>
    <mergeCell ref="A44:E44"/>
    <mergeCell ref="G44:K44"/>
    <mergeCell ref="A3:E3"/>
    <mergeCell ref="G3:K3"/>
    <mergeCell ref="M3:Q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144"/>
  <sheetViews>
    <sheetView workbookViewId="0">
      <selection activeCell="K20" sqref="K20"/>
    </sheetView>
  </sheetViews>
  <sheetFormatPr defaultRowHeight="14.4"/>
  <cols>
    <col min="3" max="3" width="11.6640625" customWidth="1"/>
  </cols>
  <sheetData>
    <row r="1" spans="1:20" s="182" customFormat="1" ht="22.8">
      <c r="A1" s="271" t="str">
        <f>'Title Sheet'!$A$2</f>
        <v>Benefit-Cost Analysis Spreadsheet for the Illinois International Port - Calumet Bridges Rehabilitation Project</v>
      </c>
    </row>
    <row r="2" spans="1:20">
      <c r="A2" s="266"/>
      <c r="B2" s="266"/>
      <c r="C2" s="266"/>
      <c r="D2" s="266"/>
      <c r="E2" s="233" t="s">
        <v>216</v>
      </c>
      <c r="F2" s="291" t="s">
        <v>215</v>
      </c>
      <c r="G2" s="234"/>
      <c r="H2" s="234"/>
      <c r="I2" s="234"/>
    </row>
    <row r="3" spans="1:20">
      <c r="A3" s="11" t="s">
        <v>25</v>
      </c>
      <c r="B3" s="12"/>
      <c r="C3" s="12"/>
      <c r="D3" s="12"/>
      <c r="F3" s="12"/>
    </row>
    <row r="4" spans="1:20">
      <c r="A4" s="13" t="s">
        <v>190</v>
      </c>
      <c r="B4" s="12"/>
      <c r="C4" s="12"/>
      <c r="D4" s="12"/>
      <c r="E4" s="12"/>
      <c r="F4" s="12"/>
      <c r="H4" s="13"/>
      <c r="J4" s="13" t="s">
        <v>191</v>
      </c>
      <c r="P4" t="s">
        <v>37</v>
      </c>
      <c r="Q4" t="s">
        <v>38</v>
      </c>
    </row>
    <row r="5" spans="1:20">
      <c r="A5" s="14"/>
    </row>
    <row r="6" spans="1:20" ht="15.6">
      <c r="A6" s="15" t="s">
        <v>26</v>
      </c>
      <c r="B6" s="15" t="s">
        <v>19</v>
      </c>
      <c r="C6" s="16" t="s">
        <v>27</v>
      </c>
      <c r="D6" s="17" t="s">
        <v>28</v>
      </c>
      <c r="E6" s="17" t="s">
        <v>29</v>
      </c>
      <c r="F6" s="18" t="s">
        <v>30</v>
      </c>
      <c r="H6" s="15" t="s">
        <v>26</v>
      </c>
      <c r="I6" s="15" t="s">
        <v>19</v>
      </c>
      <c r="J6" s="16" t="s">
        <v>27</v>
      </c>
      <c r="K6" s="17" t="s">
        <v>28</v>
      </c>
      <c r="L6" s="17" t="s">
        <v>29</v>
      </c>
      <c r="M6" s="18" t="s">
        <v>30</v>
      </c>
      <c r="O6" s="15" t="s">
        <v>26</v>
      </c>
      <c r="P6" s="15" t="s">
        <v>19</v>
      </c>
      <c r="Q6" s="16" t="s">
        <v>27</v>
      </c>
      <c r="R6" s="17" t="s">
        <v>28</v>
      </c>
      <c r="S6" s="17" t="s">
        <v>29</v>
      </c>
      <c r="T6" s="18" t="s">
        <v>30</v>
      </c>
    </row>
    <row r="7" spans="1:20">
      <c r="A7" s="19" t="s">
        <v>31</v>
      </c>
      <c r="B7" s="19">
        <v>0</v>
      </c>
      <c r="C7" s="227">
        <v>78.918499999999995</v>
      </c>
      <c r="D7" s="228">
        <v>0.30559999999999998</v>
      </c>
      <c r="E7" s="230">
        <v>8.0000000000000004E-4</v>
      </c>
      <c r="F7" s="229">
        <v>2E-3</v>
      </c>
      <c r="H7" s="19" t="s">
        <v>31</v>
      </c>
      <c r="I7" s="19">
        <v>0</v>
      </c>
      <c r="J7" s="231">
        <v>60.228900000000003</v>
      </c>
      <c r="K7" s="230">
        <v>0.1686</v>
      </c>
      <c r="L7" s="230">
        <v>5.9999999999999995E-4</v>
      </c>
      <c r="M7" s="232">
        <v>8.0000000000000004E-4</v>
      </c>
      <c r="O7" s="19" t="s">
        <v>31</v>
      </c>
      <c r="P7" s="19">
        <v>0</v>
      </c>
      <c r="Q7">
        <f t="shared" ref="Q7:Q38" si="0">((J7/C7)^(1/(2044-2024))-1)</f>
        <v>-1.3422275557018692E-2</v>
      </c>
      <c r="R7">
        <f t="shared" ref="R7:R38" si="1">((K7/D7)^(1/(2044-2024))-1)</f>
        <v>-2.9299594560146747E-2</v>
      </c>
      <c r="S7">
        <f t="shared" ref="S7:S38" si="2">((L7/E7)^(1/(2044-2024))-1)</f>
        <v>-1.4281146643185361E-2</v>
      </c>
      <c r="T7">
        <f t="shared" ref="T7:T38" si="3">((M7/F7)^(1/(2044-2024))-1)</f>
        <v>-4.4780896047675989E-2</v>
      </c>
    </row>
    <row r="8" spans="1:20">
      <c r="A8" s="19"/>
      <c r="B8" s="19">
        <v>5</v>
      </c>
      <c r="C8" s="231">
        <v>555.43650000000002</v>
      </c>
      <c r="D8" s="230">
        <v>9.5899999999999999E-2</v>
      </c>
      <c r="E8" s="230">
        <v>5.4999999999999997E-3</v>
      </c>
      <c r="F8" s="232">
        <v>6.4999999999999997E-3</v>
      </c>
      <c r="H8" s="19"/>
      <c r="I8" s="19">
        <v>5</v>
      </c>
      <c r="J8" s="231">
        <v>330.90339999999998</v>
      </c>
      <c r="K8" s="230">
        <v>2.23E-2</v>
      </c>
      <c r="L8" s="230">
        <v>3.3E-3</v>
      </c>
      <c r="M8" s="232">
        <v>1.8E-3</v>
      </c>
      <c r="O8" s="19"/>
      <c r="P8" s="19">
        <v>5</v>
      </c>
      <c r="Q8">
        <f t="shared" si="0"/>
        <v>-2.5563954362709418E-2</v>
      </c>
      <c r="R8">
        <f t="shared" si="1"/>
        <v>-7.0339641238236772E-2</v>
      </c>
      <c r="S8">
        <f t="shared" si="2"/>
        <v>-2.5217862029839777E-2</v>
      </c>
      <c r="T8">
        <f t="shared" si="3"/>
        <v>-6.2183310081209253E-2</v>
      </c>
    </row>
    <row r="9" spans="1:20">
      <c r="A9" s="19"/>
      <c r="B9" s="19">
        <v>6</v>
      </c>
      <c r="C9" s="231">
        <v>538.70389999999998</v>
      </c>
      <c r="D9" s="230">
        <v>9.3299999999999994E-2</v>
      </c>
      <c r="E9" s="230">
        <v>5.3E-3</v>
      </c>
      <c r="F9" s="232">
        <v>6.0000000000000001E-3</v>
      </c>
      <c r="H9" s="19"/>
      <c r="I9" s="19">
        <v>6</v>
      </c>
      <c r="J9" s="231">
        <v>324.70420000000001</v>
      </c>
      <c r="K9" s="230">
        <v>2.2100000000000002E-2</v>
      </c>
      <c r="L9" s="230">
        <v>3.2000000000000002E-3</v>
      </c>
      <c r="M9" s="232">
        <v>1.6000000000000001E-3</v>
      </c>
      <c r="O9" s="19"/>
      <c r="P9" s="19">
        <v>6</v>
      </c>
      <c r="Q9">
        <f t="shared" si="0"/>
        <v>-2.4994895646330173E-2</v>
      </c>
      <c r="R9">
        <f t="shared" si="1"/>
        <v>-6.9480386776313519E-2</v>
      </c>
      <c r="S9">
        <f t="shared" si="2"/>
        <v>-2.4912238789974728E-2</v>
      </c>
      <c r="T9">
        <f t="shared" si="3"/>
        <v>-6.3951316900913158E-2</v>
      </c>
    </row>
    <row r="10" spans="1:20">
      <c r="A10" s="19"/>
      <c r="B10" s="19">
        <v>7</v>
      </c>
      <c r="C10" s="231">
        <v>522.47540000000004</v>
      </c>
      <c r="D10" s="230">
        <v>9.0700000000000003E-2</v>
      </c>
      <c r="E10" s="230">
        <v>5.1999999999999998E-3</v>
      </c>
      <c r="F10" s="232">
        <v>5.4999999999999997E-3</v>
      </c>
      <c r="H10" s="19"/>
      <c r="I10" s="19">
        <v>7</v>
      </c>
      <c r="J10" s="231">
        <v>318.62099999999998</v>
      </c>
      <c r="K10" s="230">
        <v>2.1899999999999999E-2</v>
      </c>
      <c r="L10" s="230">
        <v>3.0999999999999999E-3</v>
      </c>
      <c r="M10" s="232">
        <v>1.5E-3</v>
      </c>
      <c r="O10" s="19"/>
      <c r="P10" s="19">
        <v>7</v>
      </c>
      <c r="Q10">
        <f t="shared" si="0"/>
        <v>-2.4425528186746925E-2</v>
      </c>
      <c r="R10">
        <f t="shared" si="1"/>
        <v>-6.8587973295363258E-2</v>
      </c>
      <c r="S10">
        <f t="shared" si="2"/>
        <v>-2.5531247494711473E-2</v>
      </c>
      <c r="T10">
        <f t="shared" si="3"/>
        <v>-6.2898941408279674E-2</v>
      </c>
    </row>
    <row r="11" spans="1:20">
      <c r="A11" s="19"/>
      <c r="B11" s="19">
        <v>8</v>
      </c>
      <c r="C11" s="231">
        <v>506.73579999999998</v>
      </c>
      <c r="D11" s="230">
        <v>8.8099999999999998E-2</v>
      </c>
      <c r="E11" s="230">
        <v>5.0000000000000001E-3</v>
      </c>
      <c r="F11" s="232">
        <v>5.1000000000000004E-3</v>
      </c>
      <c r="H11" s="19"/>
      <c r="I11" s="19">
        <v>8</v>
      </c>
      <c r="J11" s="231">
        <v>312.65179999999998</v>
      </c>
      <c r="K11" s="230">
        <v>2.18E-2</v>
      </c>
      <c r="L11" s="230">
        <v>3.0999999999999999E-3</v>
      </c>
      <c r="M11" s="232">
        <v>1.4E-3</v>
      </c>
      <c r="O11" s="19"/>
      <c r="P11" s="19">
        <v>8</v>
      </c>
      <c r="Q11">
        <f t="shared" si="0"/>
        <v>-2.3855824422354344E-2</v>
      </c>
      <c r="R11">
        <f t="shared" si="1"/>
        <v>-6.7445914077940095E-2</v>
      </c>
      <c r="S11">
        <f t="shared" si="2"/>
        <v>-2.3618404560180162E-2</v>
      </c>
      <c r="T11">
        <f t="shared" si="3"/>
        <v>-6.2593645964350908E-2</v>
      </c>
    </row>
    <row r="12" spans="1:20">
      <c r="A12" s="19"/>
      <c r="B12" s="19">
        <v>9</v>
      </c>
      <c r="C12" s="231">
        <v>491.47030000000001</v>
      </c>
      <c r="D12" s="230">
        <v>8.5699999999999998E-2</v>
      </c>
      <c r="E12" s="230">
        <v>4.8999999999999998E-3</v>
      </c>
      <c r="F12" s="232">
        <v>4.7000000000000002E-3</v>
      </c>
      <c r="H12" s="19"/>
      <c r="I12" s="19">
        <v>9</v>
      </c>
      <c r="J12" s="231">
        <v>306.79450000000003</v>
      </c>
      <c r="K12" s="230">
        <v>2.1600000000000001E-2</v>
      </c>
      <c r="L12" s="230">
        <v>3.0000000000000001E-3</v>
      </c>
      <c r="M12" s="232">
        <v>1.2999999999999999E-3</v>
      </c>
      <c r="O12" s="19"/>
      <c r="P12" s="19">
        <v>9</v>
      </c>
      <c r="Q12">
        <f t="shared" si="0"/>
        <v>-2.3285771212560702E-2</v>
      </c>
      <c r="R12">
        <f t="shared" si="1"/>
        <v>-6.6587427091302387E-2</v>
      </c>
      <c r="S12">
        <f t="shared" si="2"/>
        <v>-2.423270262984567E-2</v>
      </c>
      <c r="T12">
        <f t="shared" si="3"/>
        <v>-6.2238767743547196E-2</v>
      </c>
    </row>
    <row r="13" spans="1:20">
      <c r="A13" s="19"/>
      <c r="B13" s="19">
        <v>10</v>
      </c>
      <c r="C13" s="231">
        <v>476.66469999999998</v>
      </c>
      <c r="D13" s="230">
        <v>8.3299999999999999E-2</v>
      </c>
      <c r="E13" s="230">
        <v>4.7000000000000002E-3</v>
      </c>
      <c r="F13" s="232">
        <v>4.3E-3</v>
      </c>
      <c r="H13" s="19"/>
      <c r="I13" s="19">
        <v>10</v>
      </c>
      <c r="J13" s="231">
        <v>301.04689999999999</v>
      </c>
      <c r="K13" s="230">
        <v>2.1399999999999999E-2</v>
      </c>
      <c r="L13" s="230">
        <v>3.0000000000000001E-3</v>
      </c>
      <c r="M13" s="232">
        <v>1.1999999999999999E-3</v>
      </c>
      <c r="O13" s="19"/>
      <c r="P13" s="19">
        <v>10</v>
      </c>
      <c r="Q13">
        <f t="shared" si="0"/>
        <v>-2.2715392812699964E-2</v>
      </c>
      <c r="R13">
        <f t="shared" si="1"/>
        <v>-6.5695504300172902E-2</v>
      </c>
      <c r="S13">
        <f t="shared" si="2"/>
        <v>-2.2197440277394231E-2</v>
      </c>
      <c r="T13">
        <f t="shared" si="3"/>
        <v>-6.182114698434571E-2</v>
      </c>
    </row>
    <row r="14" spans="1:20">
      <c r="A14" s="19"/>
      <c r="B14" s="19">
        <v>11</v>
      </c>
      <c r="C14" s="231">
        <v>452.58</v>
      </c>
      <c r="D14" s="230">
        <v>8.0399999999999999E-2</v>
      </c>
      <c r="E14" s="230">
        <v>4.4999999999999997E-3</v>
      </c>
      <c r="F14" s="232">
        <v>3.8999999999999998E-3</v>
      </c>
      <c r="H14" s="19"/>
      <c r="I14" s="19">
        <v>11</v>
      </c>
      <c r="J14" s="231">
        <v>285.95350000000002</v>
      </c>
      <c r="K14" s="230">
        <v>2.06E-2</v>
      </c>
      <c r="L14" s="230">
        <v>2.8E-3</v>
      </c>
      <c r="M14" s="232">
        <v>1.1000000000000001E-3</v>
      </c>
      <c r="O14" s="19"/>
      <c r="P14" s="19">
        <v>11</v>
      </c>
      <c r="Q14">
        <f t="shared" si="0"/>
        <v>-2.2695264977757756E-2</v>
      </c>
      <c r="R14">
        <f t="shared" si="1"/>
        <v>-6.5820014184814757E-2</v>
      </c>
      <c r="S14">
        <f t="shared" si="2"/>
        <v>-2.3443722990367455E-2</v>
      </c>
      <c r="T14">
        <f t="shared" si="3"/>
        <v>-6.1322508843123735E-2</v>
      </c>
    </row>
    <row r="15" spans="1:20">
      <c r="A15" s="19"/>
      <c r="B15" s="19">
        <v>12</v>
      </c>
      <c r="C15" s="231">
        <v>429.7124</v>
      </c>
      <c r="D15" s="230">
        <v>7.7499999999999999E-2</v>
      </c>
      <c r="E15" s="230">
        <v>4.1999999999999997E-3</v>
      </c>
      <c r="F15" s="232">
        <v>3.5999999999999999E-3</v>
      </c>
      <c r="H15" s="19"/>
      <c r="I15" s="19">
        <v>12</v>
      </c>
      <c r="J15" s="231">
        <v>271.61689999999999</v>
      </c>
      <c r="K15" s="230">
        <v>1.9900000000000001E-2</v>
      </c>
      <c r="L15" s="230">
        <v>2.7000000000000001E-3</v>
      </c>
      <c r="M15" s="232">
        <v>1E-3</v>
      </c>
      <c r="O15" s="19"/>
      <c r="P15" s="19">
        <v>12</v>
      </c>
      <c r="Q15">
        <f t="shared" si="0"/>
        <v>-2.2675141929004106E-2</v>
      </c>
      <c r="R15">
        <f t="shared" si="1"/>
        <v>-6.5718888597211422E-2</v>
      </c>
      <c r="S15">
        <f t="shared" si="2"/>
        <v>-2.1849404442564446E-2</v>
      </c>
      <c r="T15">
        <f t="shared" si="3"/>
        <v>-6.2038797032392234E-2</v>
      </c>
    </row>
    <row r="16" spans="1:20">
      <c r="A16" s="19"/>
      <c r="B16" s="19">
        <v>13</v>
      </c>
      <c r="C16" s="231">
        <v>408.00009999999997</v>
      </c>
      <c r="D16" s="230">
        <v>7.4800000000000005E-2</v>
      </c>
      <c r="E16" s="230">
        <v>4.0000000000000001E-3</v>
      </c>
      <c r="F16" s="232">
        <v>3.3E-3</v>
      </c>
      <c r="H16" s="19"/>
      <c r="I16" s="19">
        <v>13</v>
      </c>
      <c r="J16" s="231">
        <v>257.9991</v>
      </c>
      <c r="K16" s="230">
        <v>1.9199999999999998E-2</v>
      </c>
      <c r="L16" s="230">
        <v>2.5999999999999999E-3</v>
      </c>
      <c r="M16" s="232">
        <v>8.9999999999999998E-4</v>
      </c>
      <c r="O16" s="19"/>
      <c r="P16" s="19">
        <v>13</v>
      </c>
      <c r="Q16">
        <f t="shared" si="0"/>
        <v>-2.2654998707153817E-2</v>
      </c>
      <c r="R16">
        <f t="shared" si="1"/>
        <v>-6.5735210407217304E-2</v>
      </c>
      <c r="S16">
        <f t="shared" si="2"/>
        <v>-2.130883493386615E-2</v>
      </c>
      <c r="T16">
        <f t="shared" si="3"/>
        <v>-6.2898941408279674E-2</v>
      </c>
    </row>
    <row r="17" spans="1:20">
      <c r="A17" s="19"/>
      <c r="B17" s="19">
        <v>14</v>
      </c>
      <c r="C17" s="231">
        <v>387.38490000000002</v>
      </c>
      <c r="D17" s="230">
        <v>7.2099999999999997E-2</v>
      </c>
      <c r="E17" s="230">
        <v>3.8E-3</v>
      </c>
      <c r="F17" s="232">
        <v>3.0000000000000001E-3</v>
      </c>
      <c r="H17" s="19"/>
      <c r="I17" s="19">
        <v>14</v>
      </c>
      <c r="J17" s="231">
        <v>245.06399999999999</v>
      </c>
      <c r="K17" s="230">
        <v>1.8499999999999999E-2</v>
      </c>
      <c r="L17" s="230">
        <v>2.3999999999999998E-3</v>
      </c>
      <c r="M17" s="232">
        <v>8.9999999999999998E-4</v>
      </c>
      <c r="O17" s="19"/>
      <c r="P17" s="19">
        <v>14</v>
      </c>
      <c r="Q17">
        <f t="shared" si="0"/>
        <v>-2.2634867564448546E-2</v>
      </c>
      <c r="R17">
        <f t="shared" si="1"/>
        <v>-6.5752760698867041E-2</v>
      </c>
      <c r="S17">
        <f t="shared" si="2"/>
        <v>-2.2714664111881722E-2</v>
      </c>
      <c r="T17">
        <f t="shared" si="3"/>
        <v>-5.8422520147591195E-2</v>
      </c>
    </row>
    <row r="18" spans="1:20">
      <c r="A18" s="19"/>
      <c r="B18" s="19">
        <v>15</v>
      </c>
      <c r="C18" s="231">
        <v>367.81139999999999</v>
      </c>
      <c r="D18" s="230">
        <v>6.9599999999999995E-2</v>
      </c>
      <c r="E18" s="230">
        <v>3.5999999999999999E-3</v>
      </c>
      <c r="F18" s="232">
        <v>2.7000000000000001E-3</v>
      </c>
      <c r="H18" s="19"/>
      <c r="I18" s="19">
        <v>15</v>
      </c>
      <c r="J18" s="231">
        <v>232.7774</v>
      </c>
      <c r="K18" s="230">
        <v>1.78E-2</v>
      </c>
      <c r="L18" s="230">
        <v>2.3E-3</v>
      </c>
      <c r="M18" s="232">
        <v>8.0000000000000004E-4</v>
      </c>
      <c r="O18" s="19"/>
      <c r="P18" s="19">
        <v>15</v>
      </c>
      <c r="Q18">
        <f t="shared" si="0"/>
        <v>-2.2614748452391642E-2</v>
      </c>
      <c r="R18">
        <f t="shared" si="1"/>
        <v>-6.5906095355115601E-2</v>
      </c>
      <c r="S18">
        <f t="shared" si="2"/>
        <v>-2.2152191538212573E-2</v>
      </c>
      <c r="T18">
        <f t="shared" si="3"/>
        <v>-5.9007176809750539E-2</v>
      </c>
    </row>
    <row r="19" spans="1:20">
      <c r="A19" s="19"/>
      <c r="B19" s="19">
        <v>16</v>
      </c>
      <c r="C19" s="231">
        <v>366.76100000000002</v>
      </c>
      <c r="D19" s="230">
        <v>7.0199999999999999E-2</v>
      </c>
      <c r="E19" s="230">
        <v>3.5999999999999999E-3</v>
      </c>
      <c r="F19" s="232">
        <v>2.5999999999999999E-3</v>
      </c>
      <c r="H19" s="19"/>
      <c r="I19" s="19">
        <v>16</v>
      </c>
      <c r="J19" s="231">
        <v>236.95599999999999</v>
      </c>
      <c r="K19" s="230">
        <v>1.84E-2</v>
      </c>
      <c r="L19" s="230">
        <v>2.3E-3</v>
      </c>
      <c r="M19" s="232">
        <v>8.0000000000000004E-4</v>
      </c>
      <c r="O19" s="19"/>
      <c r="P19" s="19">
        <v>16</v>
      </c>
      <c r="Q19">
        <f t="shared" si="0"/>
        <v>-2.160499215988354E-2</v>
      </c>
      <c r="R19">
        <f t="shared" si="1"/>
        <v>-6.4757927675649363E-2</v>
      </c>
      <c r="S19">
        <f t="shared" si="2"/>
        <v>-2.2152191538212573E-2</v>
      </c>
      <c r="T19">
        <f t="shared" si="3"/>
        <v>-5.7229831508452178E-2</v>
      </c>
    </row>
    <row r="20" spans="1:20">
      <c r="A20" s="19"/>
      <c r="B20" s="19">
        <v>17</v>
      </c>
      <c r="C20" s="231">
        <v>365.71359999999999</v>
      </c>
      <c r="D20" s="230">
        <v>7.0800000000000002E-2</v>
      </c>
      <c r="E20" s="230">
        <v>3.5999999999999999E-3</v>
      </c>
      <c r="F20" s="232">
        <v>2.5000000000000001E-3</v>
      </c>
      <c r="H20" s="19"/>
      <c r="I20" s="19">
        <v>17</v>
      </c>
      <c r="J20" s="231">
        <v>241.20959999999999</v>
      </c>
      <c r="K20" s="230">
        <v>1.9E-2</v>
      </c>
      <c r="L20" s="230">
        <v>2.3999999999999998E-3</v>
      </c>
      <c r="M20" s="232">
        <v>8.0000000000000004E-4</v>
      </c>
      <c r="O20" s="19"/>
      <c r="P20" s="19">
        <v>17</v>
      </c>
      <c r="Q20">
        <f t="shared" si="0"/>
        <v>-2.0594194789196774E-2</v>
      </c>
      <c r="R20">
        <f t="shared" si="1"/>
        <v>-6.3654738200892291E-2</v>
      </c>
      <c r="S20">
        <f t="shared" si="2"/>
        <v>-2.0069134687442314E-2</v>
      </c>
      <c r="T20">
        <f t="shared" si="3"/>
        <v>-5.5379211618332924E-2</v>
      </c>
    </row>
    <row r="21" spans="1:20">
      <c r="A21" s="19"/>
      <c r="B21" s="19">
        <v>18</v>
      </c>
      <c r="C21" s="231">
        <v>364.66930000000002</v>
      </c>
      <c r="D21" s="230">
        <v>7.1400000000000005E-2</v>
      </c>
      <c r="E21" s="230">
        <v>3.5999999999999999E-3</v>
      </c>
      <c r="F21" s="232">
        <v>2.3999999999999998E-3</v>
      </c>
      <c r="H21" s="19"/>
      <c r="I21" s="19">
        <v>18</v>
      </c>
      <c r="J21" s="231">
        <v>245.53960000000001</v>
      </c>
      <c r="K21" s="230">
        <v>1.9699999999999999E-2</v>
      </c>
      <c r="L21" s="230">
        <v>2.3999999999999998E-3</v>
      </c>
      <c r="M21" s="232">
        <v>6.9999999999999999E-4</v>
      </c>
      <c r="O21" s="19"/>
      <c r="P21" s="19">
        <v>18</v>
      </c>
      <c r="Q21">
        <f t="shared" si="0"/>
        <v>-1.9582359074765132E-2</v>
      </c>
      <c r="R21">
        <f t="shared" si="1"/>
        <v>-6.2355089310231482E-2</v>
      </c>
      <c r="S21">
        <f t="shared" si="2"/>
        <v>-2.0069134687442314E-2</v>
      </c>
      <c r="T21">
        <f t="shared" si="3"/>
        <v>-5.9747839710090456E-2</v>
      </c>
    </row>
    <row r="22" spans="1:20">
      <c r="A22" s="19"/>
      <c r="B22" s="19">
        <v>19</v>
      </c>
      <c r="C22" s="231">
        <v>363.62779999999998</v>
      </c>
      <c r="D22" s="230">
        <v>7.1999999999999995E-2</v>
      </c>
      <c r="E22" s="230">
        <v>3.5999999999999999E-3</v>
      </c>
      <c r="F22" s="232">
        <v>2.3999999999999998E-3</v>
      </c>
      <c r="H22" s="19"/>
      <c r="I22" s="19">
        <v>19</v>
      </c>
      <c r="J22" s="231">
        <v>249.94730000000001</v>
      </c>
      <c r="K22" s="230">
        <v>2.0299999999999999E-2</v>
      </c>
      <c r="L22" s="230">
        <v>2.5000000000000001E-3</v>
      </c>
      <c r="M22" s="232">
        <v>6.9999999999999999E-4</v>
      </c>
      <c r="O22" s="19"/>
      <c r="P22" s="19">
        <v>19</v>
      </c>
      <c r="Q22">
        <f t="shared" si="0"/>
        <v>-1.856945908592178E-2</v>
      </c>
      <c r="R22">
        <f t="shared" si="1"/>
        <v>-6.1340290025388655E-2</v>
      </c>
      <c r="S22">
        <f t="shared" si="2"/>
        <v>-1.806695543808734E-2</v>
      </c>
      <c r="T22">
        <f t="shared" si="3"/>
        <v>-5.9747839710090456E-2</v>
      </c>
    </row>
    <row r="23" spans="1:20">
      <c r="A23" s="19"/>
      <c r="B23" s="19">
        <v>20</v>
      </c>
      <c r="C23" s="231">
        <v>362.58940000000001</v>
      </c>
      <c r="D23" s="230">
        <v>7.2599999999999998E-2</v>
      </c>
      <c r="E23" s="230">
        <v>3.5999999999999999E-3</v>
      </c>
      <c r="F23" s="232">
        <v>2.3E-3</v>
      </c>
      <c r="H23" s="19"/>
      <c r="I23" s="19">
        <v>20</v>
      </c>
      <c r="J23" s="231">
        <v>254.4341</v>
      </c>
      <c r="K23" s="230">
        <v>2.1000000000000001E-2</v>
      </c>
      <c r="L23" s="230">
        <v>2.5000000000000001E-3</v>
      </c>
      <c r="M23" s="232">
        <v>6.9999999999999999E-4</v>
      </c>
      <c r="O23" s="19"/>
      <c r="P23" s="19">
        <v>20</v>
      </c>
      <c r="Q23">
        <f t="shared" si="0"/>
        <v>-1.7555534068087963E-2</v>
      </c>
      <c r="R23">
        <f t="shared" si="1"/>
        <v>-6.0137907140893287E-2</v>
      </c>
      <c r="S23">
        <f t="shared" si="2"/>
        <v>-1.806695543808734E-2</v>
      </c>
      <c r="T23">
        <f t="shared" si="3"/>
        <v>-5.7744870856456187E-2</v>
      </c>
    </row>
    <row r="24" spans="1:20">
      <c r="A24" s="19"/>
      <c r="B24" s="19">
        <v>21</v>
      </c>
      <c r="C24" s="231">
        <v>356.25099999999998</v>
      </c>
      <c r="D24" s="230">
        <v>7.2400000000000006E-2</v>
      </c>
      <c r="E24" s="230">
        <v>3.5000000000000001E-3</v>
      </c>
      <c r="F24" s="232">
        <v>2.2000000000000001E-3</v>
      </c>
      <c r="H24" s="19"/>
      <c r="I24" s="19">
        <v>21</v>
      </c>
      <c r="J24" s="231">
        <v>253.23840000000001</v>
      </c>
      <c r="K24" s="230">
        <v>2.1100000000000001E-2</v>
      </c>
      <c r="L24" s="230">
        <v>2.5000000000000001E-3</v>
      </c>
      <c r="M24" s="232">
        <v>6.9999999999999999E-4</v>
      </c>
      <c r="O24" s="19"/>
      <c r="P24" s="19">
        <v>21</v>
      </c>
      <c r="Q24">
        <f t="shared" si="0"/>
        <v>-1.6920424126468325E-2</v>
      </c>
      <c r="R24">
        <f t="shared" si="1"/>
        <v>-5.9784959080375843E-2</v>
      </c>
      <c r="S24">
        <f t="shared" si="2"/>
        <v>-1.668288515568439E-2</v>
      </c>
      <c r="T24">
        <f t="shared" si="3"/>
        <v>-5.5648296745070769E-2</v>
      </c>
    </row>
    <row r="25" spans="1:20">
      <c r="A25" s="19"/>
      <c r="B25" s="19">
        <v>22</v>
      </c>
      <c r="C25" s="231">
        <v>350.02339999999998</v>
      </c>
      <c r="D25" s="230">
        <v>7.2300000000000003E-2</v>
      </c>
      <c r="E25" s="230">
        <v>3.5000000000000001E-3</v>
      </c>
      <c r="F25" s="232">
        <v>2.0999999999999999E-3</v>
      </c>
      <c r="H25" s="19"/>
      <c r="I25" s="19">
        <v>22</v>
      </c>
      <c r="J25" s="231">
        <v>252.04820000000001</v>
      </c>
      <c r="K25" s="230">
        <v>2.1299999999999999E-2</v>
      </c>
      <c r="L25" s="230">
        <v>2.5000000000000001E-3</v>
      </c>
      <c r="M25" s="232">
        <v>6.9999999999999999E-4</v>
      </c>
      <c r="O25" s="19"/>
      <c r="P25" s="19">
        <v>22</v>
      </c>
      <c r="Q25">
        <f t="shared" si="0"/>
        <v>-1.6284926701554348E-2</v>
      </c>
      <c r="R25">
        <f t="shared" si="1"/>
        <v>-5.9276343748671523E-2</v>
      </c>
      <c r="S25">
        <f t="shared" si="2"/>
        <v>-1.668288515568439E-2</v>
      </c>
      <c r="T25">
        <f t="shared" si="3"/>
        <v>-5.3449177359840783E-2</v>
      </c>
    </row>
    <row r="26" spans="1:20">
      <c r="A26" s="19"/>
      <c r="B26" s="19">
        <v>23</v>
      </c>
      <c r="C26" s="231">
        <v>343.90460000000002</v>
      </c>
      <c r="D26" s="230">
        <v>7.2099999999999997E-2</v>
      </c>
      <c r="E26" s="230">
        <v>3.3999999999999998E-3</v>
      </c>
      <c r="F26" s="232">
        <v>2E-3</v>
      </c>
      <c r="H26" s="19"/>
      <c r="I26" s="19">
        <v>23</v>
      </c>
      <c r="J26" s="231">
        <v>250.86359999999999</v>
      </c>
      <c r="K26" s="230">
        <v>2.1499999999999998E-2</v>
      </c>
      <c r="L26" s="230">
        <v>2.5000000000000001E-3</v>
      </c>
      <c r="M26" s="232">
        <v>5.9999999999999995E-4</v>
      </c>
      <c r="O26" s="19"/>
      <c r="P26" s="19">
        <v>23</v>
      </c>
      <c r="Q26">
        <f t="shared" si="0"/>
        <v>-1.5649008064195447E-2</v>
      </c>
      <c r="R26">
        <f t="shared" si="1"/>
        <v>-5.8706283183735053E-2</v>
      </c>
      <c r="S26">
        <f t="shared" si="2"/>
        <v>-1.525665477648197E-2</v>
      </c>
      <c r="T26">
        <f t="shared" si="3"/>
        <v>-5.8422520147591195E-2</v>
      </c>
    </row>
    <row r="27" spans="1:20" s="245" customFormat="1">
      <c r="A27" s="396"/>
      <c r="B27" s="396">
        <v>24</v>
      </c>
      <c r="C27" s="397">
        <v>337.89280000000002</v>
      </c>
      <c r="D27" s="398">
        <v>7.1900000000000006E-2</v>
      </c>
      <c r="E27" s="398">
        <v>3.3E-3</v>
      </c>
      <c r="F27" s="399">
        <v>1.9E-3</v>
      </c>
      <c r="H27" s="396"/>
      <c r="I27" s="396">
        <v>24</v>
      </c>
      <c r="J27" s="397">
        <v>249.68469999999999</v>
      </c>
      <c r="K27" s="398">
        <v>2.1700000000000001E-2</v>
      </c>
      <c r="L27" s="398">
        <v>2.5000000000000001E-3</v>
      </c>
      <c r="M27" s="399">
        <v>5.9999999999999995E-4</v>
      </c>
      <c r="O27" s="396"/>
      <c r="P27" s="396">
        <v>24</v>
      </c>
      <c r="Q27" s="245">
        <f t="shared" si="0"/>
        <v>-1.5012657529810958E-2</v>
      </c>
      <c r="R27" s="245">
        <f t="shared" si="1"/>
        <v>-5.8139590103077343E-2</v>
      </c>
      <c r="S27" s="245">
        <f t="shared" si="2"/>
        <v>-1.3785681887263479E-2</v>
      </c>
      <c r="T27" s="245">
        <f t="shared" si="3"/>
        <v>-5.6004590340146487E-2</v>
      </c>
    </row>
    <row r="28" spans="1:20" s="245" customFormat="1">
      <c r="A28" s="396"/>
      <c r="B28" s="396">
        <v>25</v>
      </c>
      <c r="C28" s="397">
        <v>331.98610000000002</v>
      </c>
      <c r="D28" s="398">
        <v>7.1800000000000003E-2</v>
      </c>
      <c r="E28" s="398">
        <v>3.3E-3</v>
      </c>
      <c r="F28" s="399">
        <v>1.8E-3</v>
      </c>
      <c r="H28" s="396"/>
      <c r="I28" s="396">
        <v>25</v>
      </c>
      <c r="J28" s="397">
        <v>248.5112</v>
      </c>
      <c r="K28" s="398">
        <v>2.18E-2</v>
      </c>
      <c r="L28" s="398">
        <v>2.5000000000000001E-3</v>
      </c>
      <c r="M28" s="399">
        <v>5.9999999999999995E-4</v>
      </c>
      <c r="O28" s="396"/>
      <c r="P28" s="396">
        <v>25</v>
      </c>
      <c r="Q28" s="245">
        <f t="shared" si="0"/>
        <v>-1.4375924532073259E-2</v>
      </c>
      <c r="R28" s="245">
        <f t="shared" si="1"/>
        <v>-5.785748431501625E-2</v>
      </c>
      <c r="S28" s="245">
        <f t="shared" si="2"/>
        <v>-1.3785681887263479E-2</v>
      </c>
      <c r="T28" s="245">
        <f t="shared" si="3"/>
        <v>-5.3449177359840783E-2</v>
      </c>
    </row>
    <row r="29" spans="1:20" s="245" customFormat="1">
      <c r="A29" s="396"/>
      <c r="B29" s="396">
        <v>26</v>
      </c>
      <c r="C29" s="397">
        <v>327.27409999999998</v>
      </c>
      <c r="D29" s="398">
        <v>7.1099999999999997E-2</v>
      </c>
      <c r="E29" s="398">
        <v>3.2000000000000002E-3</v>
      </c>
      <c r="F29" s="399">
        <v>1.6999999999999999E-3</v>
      </c>
      <c r="H29" s="396"/>
      <c r="I29" s="396">
        <v>26</v>
      </c>
      <c r="J29" s="397">
        <v>247.79</v>
      </c>
      <c r="K29" s="398">
        <v>2.1999999999999999E-2</v>
      </c>
      <c r="L29" s="398">
        <v>2.3999999999999998E-3</v>
      </c>
      <c r="M29" s="399">
        <v>5.9999999999999995E-4</v>
      </c>
      <c r="O29" s="396"/>
      <c r="P29" s="396">
        <v>26</v>
      </c>
      <c r="Q29" s="245">
        <f t="shared" si="0"/>
        <v>-1.3814513255389294E-2</v>
      </c>
      <c r="R29" s="245">
        <f t="shared" si="1"/>
        <v>-5.6965342061030655E-2</v>
      </c>
      <c r="S29" s="245">
        <f t="shared" si="2"/>
        <v>-1.4281146643185361E-2</v>
      </c>
      <c r="T29" s="245">
        <f t="shared" si="3"/>
        <v>-5.0740140916021415E-2</v>
      </c>
    </row>
    <row r="30" spans="1:20" s="245" customFormat="1">
      <c r="A30" s="396"/>
      <c r="B30" s="396">
        <v>27</v>
      </c>
      <c r="C30" s="397">
        <v>322.62889999999999</v>
      </c>
      <c r="D30" s="398">
        <v>7.0300000000000001E-2</v>
      </c>
      <c r="E30" s="398">
        <v>3.2000000000000002E-3</v>
      </c>
      <c r="F30" s="399">
        <v>1.6999999999999999E-3</v>
      </c>
      <c r="H30" s="396"/>
      <c r="I30" s="396">
        <v>27</v>
      </c>
      <c r="J30" s="397">
        <v>247.07089999999999</v>
      </c>
      <c r="K30" s="398">
        <v>2.2100000000000002E-2</v>
      </c>
      <c r="L30" s="398">
        <v>2.3999999999999998E-3</v>
      </c>
      <c r="M30" s="399">
        <v>5.9999999999999995E-4</v>
      </c>
      <c r="O30" s="396"/>
      <c r="P30" s="396">
        <v>27</v>
      </c>
      <c r="Q30" s="245">
        <f t="shared" si="0"/>
        <v>-1.3252768695589223E-2</v>
      </c>
      <c r="R30" s="245">
        <f t="shared" si="1"/>
        <v>-5.6217658167451057E-2</v>
      </c>
      <c r="S30" s="245">
        <f t="shared" si="2"/>
        <v>-1.4281146643185361E-2</v>
      </c>
      <c r="T30" s="245">
        <f t="shared" si="3"/>
        <v>-5.0740140916021415E-2</v>
      </c>
    </row>
    <row r="31" spans="1:20" s="245" customFormat="1">
      <c r="A31" s="396"/>
      <c r="B31" s="396">
        <v>28</v>
      </c>
      <c r="C31" s="397">
        <v>318.04969999999997</v>
      </c>
      <c r="D31" s="398">
        <v>6.9599999999999995E-2</v>
      </c>
      <c r="E31" s="398">
        <v>3.0999999999999999E-3</v>
      </c>
      <c r="F31" s="399">
        <v>1.6000000000000001E-3</v>
      </c>
      <c r="H31" s="396"/>
      <c r="I31" s="396">
        <v>28</v>
      </c>
      <c r="J31" s="397">
        <v>246.35390000000001</v>
      </c>
      <c r="K31" s="398">
        <v>2.2200000000000001E-2</v>
      </c>
      <c r="L31" s="398">
        <v>2.3999999999999998E-3</v>
      </c>
      <c r="M31" s="399">
        <v>5.9999999999999995E-4</v>
      </c>
      <c r="O31" s="396"/>
      <c r="P31" s="396">
        <v>28</v>
      </c>
      <c r="Q31" s="245">
        <f t="shared" si="0"/>
        <v>-1.2690712059050813E-2</v>
      </c>
      <c r="R31" s="245">
        <f t="shared" si="1"/>
        <v>-5.5532133121435789E-2</v>
      </c>
      <c r="S31" s="245">
        <f t="shared" si="2"/>
        <v>-1.2715139479904658E-2</v>
      </c>
      <c r="T31" s="245">
        <f t="shared" si="3"/>
        <v>-4.7858349436510239E-2</v>
      </c>
    </row>
    <row r="32" spans="1:20" s="245" customFormat="1">
      <c r="A32" s="396"/>
      <c r="B32" s="396">
        <v>29</v>
      </c>
      <c r="C32" s="397">
        <v>313.53550000000001</v>
      </c>
      <c r="D32" s="398">
        <v>6.8900000000000003E-2</v>
      </c>
      <c r="E32" s="398">
        <v>3.0999999999999999E-3</v>
      </c>
      <c r="F32" s="399">
        <v>1.5E-3</v>
      </c>
      <c r="H32" s="396"/>
      <c r="I32" s="396">
        <v>29</v>
      </c>
      <c r="J32" s="397">
        <v>245.63890000000001</v>
      </c>
      <c r="K32" s="398">
        <v>2.24E-2</v>
      </c>
      <c r="L32" s="398">
        <v>2.3999999999999998E-3</v>
      </c>
      <c r="M32" s="399">
        <v>5.0000000000000001E-4</v>
      </c>
      <c r="O32" s="396"/>
      <c r="P32" s="396">
        <v>29</v>
      </c>
      <c r="Q32" s="245">
        <f t="shared" si="0"/>
        <v>-1.212835238806087E-2</v>
      </c>
      <c r="R32" s="245">
        <f t="shared" si="1"/>
        <v>-5.4630819854271206E-2</v>
      </c>
      <c r="S32" s="245">
        <f t="shared" si="2"/>
        <v>-1.2715139479904658E-2</v>
      </c>
      <c r="T32" s="245">
        <f t="shared" si="3"/>
        <v>-5.3449177359840783E-2</v>
      </c>
    </row>
    <row r="33" spans="1:20" s="245" customFormat="1">
      <c r="A33" s="396"/>
      <c r="B33" s="396">
        <v>30</v>
      </c>
      <c r="C33" s="397">
        <v>309.08539999999999</v>
      </c>
      <c r="D33" s="398">
        <v>6.8199999999999997E-2</v>
      </c>
      <c r="E33" s="398">
        <v>3.0999999999999999E-3</v>
      </c>
      <c r="F33" s="399">
        <v>1.5E-3</v>
      </c>
      <c r="H33" s="396"/>
      <c r="I33" s="396">
        <v>30</v>
      </c>
      <c r="J33" s="397">
        <v>244.92609999999999</v>
      </c>
      <c r="K33" s="398">
        <v>2.2499999999999999E-2</v>
      </c>
      <c r="L33" s="398">
        <v>2.3999999999999998E-3</v>
      </c>
      <c r="M33" s="399">
        <v>5.0000000000000001E-4</v>
      </c>
      <c r="O33" s="396"/>
      <c r="P33" s="396">
        <v>30</v>
      </c>
      <c r="Q33" s="245">
        <f t="shared" si="0"/>
        <v>-1.1565651730882864E-2</v>
      </c>
      <c r="R33" s="245">
        <f t="shared" si="1"/>
        <v>-5.3937328121808181E-2</v>
      </c>
      <c r="S33" s="245">
        <f t="shared" si="2"/>
        <v>-1.2715139479904658E-2</v>
      </c>
      <c r="T33" s="245">
        <f t="shared" si="3"/>
        <v>-5.3449177359840783E-2</v>
      </c>
    </row>
    <row r="34" spans="1:20" s="245" customFormat="1">
      <c r="A34" s="396"/>
      <c r="B34" s="396">
        <v>31</v>
      </c>
      <c r="C34" s="397">
        <v>304.8313</v>
      </c>
      <c r="D34" s="398">
        <v>6.7900000000000002E-2</v>
      </c>
      <c r="E34" s="398">
        <v>3.0000000000000001E-3</v>
      </c>
      <c r="F34" s="399">
        <v>1.4E-3</v>
      </c>
      <c r="H34" s="396"/>
      <c r="I34" s="396">
        <v>31</v>
      </c>
      <c r="J34" s="397">
        <v>241.3366</v>
      </c>
      <c r="K34" s="398">
        <v>2.2200000000000001E-2</v>
      </c>
      <c r="L34" s="398">
        <v>2.3999999999999998E-3</v>
      </c>
      <c r="M34" s="399">
        <v>5.0000000000000001E-4</v>
      </c>
      <c r="O34" s="396"/>
      <c r="P34" s="396">
        <v>31</v>
      </c>
      <c r="Q34" s="245">
        <f t="shared" si="0"/>
        <v>-1.1610366874792999E-2</v>
      </c>
      <c r="R34" s="245">
        <f t="shared" si="1"/>
        <v>-5.4363645665701399E-2</v>
      </c>
      <c r="S34" s="245">
        <f t="shared" si="2"/>
        <v>-1.1095167094968383E-2</v>
      </c>
      <c r="T34" s="245">
        <f t="shared" si="3"/>
        <v>-5.0178275918311033E-2</v>
      </c>
    </row>
    <row r="35" spans="1:20" s="245" customFormat="1">
      <c r="A35" s="396"/>
      <c r="B35" s="396">
        <v>32</v>
      </c>
      <c r="C35" s="397">
        <v>300.63569999999999</v>
      </c>
      <c r="D35" s="398">
        <v>6.7500000000000004E-2</v>
      </c>
      <c r="E35" s="398">
        <v>3.0000000000000001E-3</v>
      </c>
      <c r="F35" s="399">
        <v>1.4E-3</v>
      </c>
      <c r="H35" s="396"/>
      <c r="I35" s="396">
        <v>32</v>
      </c>
      <c r="J35" s="397">
        <v>237.7997</v>
      </c>
      <c r="K35" s="398">
        <v>2.1999999999999999E-2</v>
      </c>
      <c r="L35" s="398">
        <v>2.3999999999999998E-3</v>
      </c>
      <c r="M35" s="399">
        <v>5.0000000000000001E-4</v>
      </c>
      <c r="O35" s="396"/>
      <c r="P35" s="396">
        <v>32</v>
      </c>
      <c r="Q35" s="245">
        <f t="shared" si="0"/>
        <v>-1.1655072741129091E-2</v>
      </c>
      <c r="R35" s="245">
        <f t="shared" si="1"/>
        <v>-5.4512165048463679E-2</v>
      </c>
      <c r="S35" s="245">
        <f t="shared" si="2"/>
        <v>-1.1095167094968383E-2</v>
      </c>
      <c r="T35" s="245">
        <f t="shared" si="3"/>
        <v>-5.0178275918311033E-2</v>
      </c>
    </row>
    <row r="36" spans="1:20" s="245" customFormat="1">
      <c r="A36" s="396"/>
      <c r="B36" s="396">
        <v>33</v>
      </c>
      <c r="C36" s="397">
        <v>296.49790000000002</v>
      </c>
      <c r="D36" s="398">
        <v>6.7100000000000007E-2</v>
      </c>
      <c r="E36" s="398">
        <v>2.8999999999999998E-3</v>
      </c>
      <c r="F36" s="399">
        <v>1.2999999999999999E-3</v>
      </c>
      <c r="H36" s="396"/>
      <c r="I36" s="396">
        <v>33</v>
      </c>
      <c r="J36" s="397">
        <v>234.31469999999999</v>
      </c>
      <c r="K36" s="398">
        <v>2.1700000000000001E-2</v>
      </c>
      <c r="L36" s="398">
        <v>2.3E-3</v>
      </c>
      <c r="M36" s="399">
        <v>5.0000000000000001E-4</v>
      </c>
      <c r="O36" s="396"/>
      <c r="P36" s="396">
        <v>33</v>
      </c>
      <c r="Q36" s="245">
        <f t="shared" si="0"/>
        <v>-1.1699771710556917E-2</v>
      </c>
      <c r="R36" s="245">
        <f t="shared" si="1"/>
        <v>-5.488020201781818E-2</v>
      </c>
      <c r="S36" s="245">
        <f t="shared" si="2"/>
        <v>-1.1523174449933893E-2</v>
      </c>
      <c r="T36" s="245">
        <f t="shared" si="3"/>
        <v>-4.6652279247091366E-2</v>
      </c>
    </row>
    <row r="37" spans="1:20" s="245" customFormat="1">
      <c r="A37" s="396"/>
      <c r="B37" s="396">
        <v>34</v>
      </c>
      <c r="C37" s="397">
        <v>292.4171</v>
      </c>
      <c r="D37" s="398">
        <v>6.6699999999999995E-2</v>
      </c>
      <c r="E37" s="398">
        <v>2.8999999999999998E-3</v>
      </c>
      <c r="F37" s="399">
        <v>1.2999999999999999E-3</v>
      </c>
      <c r="H37" s="396"/>
      <c r="I37" s="396">
        <v>34</v>
      </c>
      <c r="J37" s="397">
        <v>230.88069999999999</v>
      </c>
      <c r="K37" s="398">
        <v>2.1499999999999998E-2</v>
      </c>
      <c r="L37" s="398">
        <v>2.3E-3</v>
      </c>
      <c r="M37" s="399">
        <v>5.0000000000000001E-4</v>
      </c>
      <c r="O37" s="396"/>
      <c r="P37" s="396">
        <v>34</v>
      </c>
      <c r="Q37" s="245">
        <f t="shared" si="0"/>
        <v>-1.1744492699245712E-2</v>
      </c>
      <c r="R37" s="245">
        <f t="shared" si="1"/>
        <v>-5.5035200028354492E-2</v>
      </c>
      <c r="S37" s="245">
        <f t="shared" si="2"/>
        <v>-1.1523174449933893E-2</v>
      </c>
      <c r="T37" s="245">
        <f t="shared" si="3"/>
        <v>-4.6652279247091366E-2</v>
      </c>
    </row>
    <row r="38" spans="1:20" s="245" customFormat="1">
      <c r="A38" s="396"/>
      <c r="B38" s="396">
        <v>35</v>
      </c>
      <c r="C38" s="397">
        <v>288.39240000000001</v>
      </c>
      <c r="D38" s="398">
        <v>6.6299999999999998E-2</v>
      </c>
      <c r="E38" s="398">
        <v>2.8999999999999998E-3</v>
      </c>
      <c r="F38" s="399">
        <v>1.1999999999999999E-3</v>
      </c>
      <c r="H38" s="396"/>
      <c r="I38" s="396">
        <v>35</v>
      </c>
      <c r="J38" s="397">
        <v>227.49700000000001</v>
      </c>
      <c r="K38" s="398">
        <v>2.12E-2</v>
      </c>
      <c r="L38" s="398">
        <v>2.2000000000000001E-3</v>
      </c>
      <c r="M38" s="399">
        <v>4.0000000000000002E-4</v>
      </c>
      <c r="O38" s="396"/>
      <c r="P38" s="396">
        <v>35</v>
      </c>
      <c r="Q38" s="245">
        <f t="shared" si="0"/>
        <v>-1.1789206320350076E-2</v>
      </c>
      <c r="R38" s="245">
        <f t="shared" si="1"/>
        <v>-5.5414843569185357E-2</v>
      </c>
      <c r="S38" s="245">
        <f t="shared" si="2"/>
        <v>-1.3717711628200902E-2</v>
      </c>
      <c r="T38" s="245">
        <f t="shared" si="3"/>
        <v>-5.3449177359840783E-2</v>
      </c>
    </row>
    <row r="39" spans="1:20" s="245" customFormat="1">
      <c r="A39" s="396"/>
      <c r="B39" s="396">
        <v>36</v>
      </c>
      <c r="C39" s="397">
        <v>287.18729999999999</v>
      </c>
      <c r="D39" s="398">
        <v>6.6100000000000006E-2</v>
      </c>
      <c r="E39" s="398">
        <v>2.8E-3</v>
      </c>
      <c r="F39" s="399">
        <v>1.1999999999999999E-3</v>
      </c>
      <c r="H39" s="396"/>
      <c r="I39" s="396">
        <v>36</v>
      </c>
      <c r="J39" s="397">
        <v>226.57159999999999</v>
      </c>
      <c r="K39" s="398">
        <v>2.1100000000000001E-2</v>
      </c>
      <c r="L39" s="398">
        <v>2.2000000000000001E-3</v>
      </c>
      <c r="M39" s="399">
        <v>4.0000000000000002E-4</v>
      </c>
      <c r="O39" s="396"/>
      <c r="P39" s="396">
        <v>36</v>
      </c>
      <c r="Q39" s="245">
        <f t="shared" ref="Q39:Q73" si="4">((J39/C39)^(1/(2044-2024))-1)</f>
        <v>-1.1783702222736392E-2</v>
      </c>
      <c r="R39" s="245">
        <f t="shared" ref="R39:R73" si="5">((K39/D39)^(1/(2044-2024))-1)</f>
        <v>-5.5495460040356437E-2</v>
      </c>
      <c r="S39" s="245">
        <f t="shared" ref="S39:S73" si="6">((L39/E39)^(1/(2044-2024))-1)</f>
        <v>-1.1985695243741601E-2</v>
      </c>
      <c r="T39" s="245">
        <f t="shared" ref="T39:T73" si="7">((M39/F39)^(1/(2044-2024))-1)</f>
        <v>-5.3449177359840783E-2</v>
      </c>
    </row>
    <row r="40" spans="1:20" s="245" customFormat="1">
      <c r="A40" s="396"/>
      <c r="B40" s="396">
        <v>37</v>
      </c>
      <c r="C40" s="397">
        <v>285.98719999999997</v>
      </c>
      <c r="D40" s="398">
        <v>6.5799999999999997E-2</v>
      </c>
      <c r="E40" s="398">
        <v>2.8E-3</v>
      </c>
      <c r="F40" s="399">
        <v>1.1999999999999999E-3</v>
      </c>
      <c r="H40" s="396"/>
      <c r="I40" s="396">
        <v>37</v>
      </c>
      <c r="J40" s="397">
        <v>225.6499</v>
      </c>
      <c r="K40" s="398">
        <v>2.1000000000000001E-2</v>
      </c>
      <c r="L40" s="398">
        <v>2.2000000000000001E-3</v>
      </c>
      <c r="M40" s="399">
        <v>4.0000000000000002E-4</v>
      </c>
      <c r="O40" s="396"/>
      <c r="P40" s="396">
        <v>37</v>
      </c>
      <c r="Q40" s="245">
        <f t="shared" si="4"/>
        <v>-1.1778205999600111E-2</v>
      </c>
      <c r="R40" s="245">
        <f t="shared" si="5"/>
        <v>-5.5504985048229094E-2</v>
      </c>
      <c r="S40" s="245">
        <f t="shared" si="6"/>
        <v>-1.1985695243741601E-2</v>
      </c>
      <c r="T40" s="245">
        <f t="shared" si="7"/>
        <v>-5.3449177359840783E-2</v>
      </c>
    </row>
    <row r="41" spans="1:20" s="245" customFormat="1">
      <c r="A41" s="396"/>
      <c r="B41" s="396">
        <v>38</v>
      </c>
      <c r="C41" s="397">
        <v>284.79219999999998</v>
      </c>
      <c r="D41" s="398">
        <v>6.5600000000000006E-2</v>
      </c>
      <c r="E41" s="398">
        <v>2.8E-3</v>
      </c>
      <c r="F41" s="399">
        <v>1.1000000000000001E-3</v>
      </c>
      <c r="H41" s="396"/>
      <c r="I41" s="396">
        <v>38</v>
      </c>
      <c r="J41" s="397">
        <v>224.7319</v>
      </c>
      <c r="K41" s="398">
        <v>2.0799999999999999E-2</v>
      </c>
      <c r="L41" s="398">
        <v>2.2000000000000001E-3</v>
      </c>
      <c r="M41" s="399">
        <v>4.0000000000000002E-4</v>
      </c>
      <c r="O41" s="396"/>
      <c r="P41" s="396">
        <v>38</v>
      </c>
      <c r="Q41" s="245">
        <f t="shared" si="4"/>
        <v>-1.1772735380093047E-2</v>
      </c>
      <c r="R41" s="245">
        <f t="shared" si="5"/>
        <v>-5.5813090857193881E-2</v>
      </c>
      <c r="S41" s="245">
        <f t="shared" si="6"/>
        <v>-1.1985695243741601E-2</v>
      </c>
      <c r="T41" s="245">
        <f t="shared" si="7"/>
        <v>-4.9322171935262227E-2</v>
      </c>
    </row>
    <row r="42" spans="1:20" s="245" customFormat="1">
      <c r="A42" s="396"/>
      <c r="B42" s="396">
        <v>39</v>
      </c>
      <c r="C42" s="397">
        <v>283.60210000000001</v>
      </c>
      <c r="D42" s="398">
        <v>6.5299999999999997E-2</v>
      </c>
      <c r="E42" s="398">
        <v>2.8E-3</v>
      </c>
      <c r="F42" s="399">
        <v>1.1000000000000001E-3</v>
      </c>
      <c r="H42" s="396"/>
      <c r="I42" s="396">
        <v>39</v>
      </c>
      <c r="J42" s="397">
        <v>223.8177</v>
      </c>
      <c r="K42" s="398">
        <v>2.07E-2</v>
      </c>
      <c r="L42" s="398">
        <v>2.2000000000000001E-3</v>
      </c>
      <c r="M42" s="399">
        <v>4.0000000000000002E-4</v>
      </c>
      <c r="O42" s="396"/>
      <c r="P42" s="396">
        <v>39</v>
      </c>
      <c r="Q42" s="245">
        <f t="shared" si="4"/>
        <v>-1.1767234045087172E-2</v>
      </c>
      <c r="R42" s="245">
        <f t="shared" si="5"/>
        <v>-5.5824214577170794E-2</v>
      </c>
      <c r="S42" s="245">
        <f t="shared" si="6"/>
        <v>-1.1985695243741601E-2</v>
      </c>
      <c r="T42" s="245">
        <f t="shared" si="7"/>
        <v>-4.9322171935262227E-2</v>
      </c>
    </row>
    <row r="43" spans="1:20" s="245" customFormat="1">
      <c r="A43" s="396"/>
      <c r="B43" s="396">
        <v>40</v>
      </c>
      <c r="C43" s="397">
        <v>282.41699999999997</v>
      </c>
      <c r="D43" s="398">
        <v>6.5100000000000005E-2</v>
      </c>
      <c r="E43" s="398">
        <v>2.8E-3</v>
      </c>
      <c r="F43" s="399">
        <v>1.1000000000000001E-3</v>
      </c>
      <c r="H43" s="396"/>
      <c r="I43" s="396">
        <v>40</v>
      </c>
      <c r="J43" s="397">
        <v>222.90719999999999</v>
      </c>
      <c r="K43" s="398">
        <v>2.06E-2</v>
      </c>
      <c r="L43" s="398">
        <v>2.2000000000000001E-3</v>
      </c>
      <c r="M43" s="399">
        <v>4.0000000000000002E-4</v>
      </c>
      <c r="O43" s="396"/>
      <c r="P43" s="396">
        <v>40</v>
      </c>
      <c r="Q43" s="245">
        <f t="shared" si="4"/>
        <v>-1.1761741558268701E-2</v>
      </c>
      <c r="R43" s="245">
        <f t="shared" si="5"/>
        <v>-5.5908012946093377E-2</v>
      </c>
      <c r="S43" s="245">
        <f t="shared" si="6"/>
        <v>-1.1985695243741601E-2</v>
      </c>
      <c r="T43" s="245">
        <f t="shared" si="7"/>
        <v>-4.9322171935262227E-2</v>
      </c>
    </row>
    <row r="44" spans="1:20" s="245" customFormat="1">
      <c r="A44" s="396"/>
      <c r="B44" s="396">
        <v>41</v>
      </c>
      <c r="C44" s="397">
        <v>282.63159999999999</v>
      </c>
      <c r="D44" s="398">
        <v>6.4899999999999999E-2</v>
      </c>
      <c r="E44" s="398">
        <v>2.8E-3</v>
      </c>
      <c r="F44" s="399">
        <v>1.1000000000000001E-3</v>
      </c>
      <c r="H44" s="396"/>
      <c r="I44" s="396">
        <v>41</v>
      </c>
      <c r="J44" s="397">
        <v>223.35849999999999</v>
      </c>
      <c r="K44" s="398">
        <v>2.0500000000000001E-2</v>
      </c>
      <c r="L44" s="398">
        <v>2.2000000000000001E-3</v>
      </c>
      <c r="M44" s="399">
        <v>4.0000000000000002E-4</v>
      </c>
      <c r="O44" s="396"/>
      <c r="P44" s="396">
        <v>41</v>
      </c>
      <c r="Q44" s="245">
        <f t="shared" si="4"/>
        <v>-1.1699333237693788E-2</v>
      </c>
      <c r="R44" s="245">
        <f t="shared" si="5"/>
        <v>-5.5992470665288674E-2</v>
      </c>
      <c r="S44" s="245">
        <f t="shared" si="6"/>
        <v>-1.1985695243741601E-2</v>
      </c>
      <c r="T44" s="245">
        <f t="shared" si="7"/>
        <v>-4.9322171935262227E-2</v>
      </c>
    </row>
    <row r="45" spans="1:20" s="245" customFormat="1">
      <c r="A45" s="396"/>
      <c r="B45" s="396">
        <v>42</v>
      </c>
      <c r="C45" s="397">
        <v>282.84640000000002</v>
      </c>
      <c r="D45" s="398">
        <v>6.4699999999999994E-2</v>
      </c>
      <c r="E45" s="398">
        <v>2.8E-3</v>
      </c>
      <c r="F45" s="399">
        <v>1E-3</v>
      </c>
      <c r="H45" s="396"/>
      <c r="I45" s="396">
        <v>42</v>
      </c>
      <c r="J45" s="397">
        <v>223.8107</v>
      </c>
      <c r="K45" s="398">
        <v>2.0500000000000001E-2</v>
      </c>
      <c r="L45" s="398">
        <v>2.2000000000000001E-3</v>
      </c>
      <c r="M45" s="399">
        <v>4.0000000000000002E-4</v>
      </c>
      <c r="O45" s="396"/>
      <c r="P45" s="396">
        <v>42</v>
      </c>
      <c r="Q45" s="245">
        <f t="shared" si="4"/>
        <v>-1.1636930455008243E-2</v>
      </c>
      <c r="R45" s="245">
        <f t="shared" si="5"/>
        <v>-5.5846779134012592E-2</v>
      </c>
      <c r="S45" s="245">
        <f t="shared" si="6"/>
        <v>-1.1985695243741601E-2</v>
      </c>
      <c r="T45" s="245">
        <f t="shared" si="7"/>
        <v>-4.4780896047675989E-2</v>
      </c>
    </row>
    <row r="46" spans="1:20" s="245" customFormat="1">
      <c r="A46" s="396"/>
      <c r="B46" s="396">
        <v>43</v>
      </c>
      <c r="C46" s="397">
        <v>283.06130000000002</v>
      </c>
      <c r="D46" s="398">
        <v>6.4500000000000002E-2</v>
      </c>
      <c r="E46" s="398">
        <v>2.8E-3</v>
      </c>
      <c r="F46" s="399">
        <v>1E-3</v>
      </c>
      <c r="H46" s="396"/>
      <c r="I46" s="396">
        <v>43</v>
      </c>
      <c r="J46" s="397">
        <v>224.2638</v>
      </c>
      <c r="K46" s="398">
        <v>2.0400000000000001E-2</v>
      </c>
      <c r="L46" s="398">
        <v>2.2000000000000001E-3</v>
      </c>
      <c r="M46" s="399">
        <v>4.0000000000000002E-4</v>
      </c>
      <c r="O46" s="396"/>
      <c r="P46" s="396">
        <v>43</v>
      </c>
      <c r="Q46" s="245">
        <f t="shared" si="4"/>
        <v>-1.1574516105179122E-2</v>
      </c>
      <c r="R46" s="245">
        <f t="shared" si="5"/>
        <v>-5.5931466237896688E-2</v>
      </c>
      <c r="S46" s="245">
        <f t="shared" si="6"/>
        <v>-1.1985695243741601E-2</v>
      </c>
      <c r="T46" s="245">
        <f t="shared" si="7"/>
        <v>-4.4780896047675989E-2</v>
      </c>
    </row>
    <row r="47" spans="1:20" s="245" customFormat="1">
      <c r="A47" s="396"/>
      <c r="B47" s="396">
        <v>44</v>
      </c>
      <c r="C47" s="397">
        <v>283.27640000000002</v>
      </c>
      <c r="D47" s="398">
        <v>6.4299999999999996E-2</v>
      </c>
      <c r="E47" s="398">
        <v>2.8E-3</v>
      </c>
      <c r="F47" s="399">
        <v>1E-3</v>
      </c>
      <c r="H47" s="396"/>
      <c r="I47" s="396">
        <v>44</v>
      </c>
      <c r="J47" s="397">
        <v>224.71789999999999</v>
      </c>
      <c r="K47" s="398">
        <v>2.0299999999999999E-2</v>
      </c>
      <c r="L47" s="398">
        <v>2.2000000000000001E-3</v>
      </c>
      <c r="M47" s="399">
        <v>4.0000000000000002E-4</v>
      </c>
      <c r="O47" s="396"/>
      <c r="P47" s="396">
        <v>44</v>
      </c>
      <c r="Q47" s="245">
        <f t="shared" si="4"/>
        <v>-1.1512086030401103E-2</v>
      </c>
      <c r="R47" s="245">
        <f t="shared" si="5"/>
        <v>-5.6016826105500295E-2</v>
      </c>
      <c r="S47" s="245">
        <f t="shared" si="6"/>
        <v>-1.1985695243741601E-2</v>
      </c>
      <c r="T47" s="245">
        <f t="shared" si="7"/>
        <v>-4.4780896047675989E-2</v>
      </c>
    </row>
    <row r="48" spans="1:20" s="245" customFormat="1">
      <c r="A48" s="396"/>
      <c r="B48" s="396">
        <v>45</v>
      </c>
      <c r="C48" s="397">
        <v>283.49169999999998</v>
      </c>
      <c r="D48" s="398">
        <v>6.4100000000000004E-2</v>
      </c>
      <c r="E48" s="398">
        <v>2.8E-3</v>
      </c>
      <c r="F48" s="399">
        <v>1E-3</v>
      </c>
      <c r="H48" s="396"/>
      <c r="I48" s="396">
        <v>45</v>
      </c>
      <c r="J48" s="397">
        <v>225.1728</v>
      </c>
      <c r="K48" s="398">
        <v>2.0299999999999999E-2</v>
      </c>
      <c r="L48" s="398">
        <v>2.2000000000000001E-3</v>
      </c>
      <c r="M48" s="399">
        <v>4.0000000000000002E-4</v>
      </c>
      <c r="O48" s="396"/>
      <c r="P48" s="396">
        <v>45</v>
      </c>
      <c r="Q48" s="245">
        <f t="shared" si="4"/>
        <v>-1.1449684611722355E-2</v>
      </c>
      <c r="R48" s="245">
        <f t="shared" si="5"/>
        <v>-5.5869776656869874E-2</v>
      </c>
      <c r="S48" s="245">
        <f t="shared" si="6"/>
        <v>-1.1985695243741601E-2</v>
      </c>
      <c r="T48" s="245">
        <f t="shared" si="7"/>
        <v>-4.4780896047675989E-2</v>
      </c>
    </row>
    <row r="49" spans="1:20" s="245" customFormat="1">
      <c r="A49" s="396"/>
      <c r="B49" s="396">
        <v>46</v>
      </c>
      <c r="C49" s="397">
        <v>286.14699999999999</v>
      </c>
      <c r="D49" s="398">
        <v>6.4299999999999996E-2</v>
      </c>
      <c r="E49" s="398">
        <v>2.8E-3</v>
      </c>
      <c r="F49" s="399">
        <v>1E-3</v>
      </c>
      <c r="H49" s="396"/>
      <c r="I49" s="396">
        <v>46</v>
      </c>
      <c r="J49" s="397">
        <v>228.05520000000001</v>
      </c>
      <c r="K49" s="398">
        <v>2.0299999999999999E-2</v>
      </c>
      <c r="L49" s="398">
        <v>2.3E-3</v>
      </c>
      <c r="M49" s="399">
        <v>4.0000000000000002E-4</v>
      </c>
      <c r="O49" s="396"/>
      <c r="P49" s="396">
        <v>46</v>
      </c>
      <c r="Q49" s="245">
        <f t="shared" si="4"/>
        <v>-1.1281776029233748E-2</v>
      </c>
      <c r="R49" s="245">
        <f t="shared" si="5"/>
        <v>-5.6016826105500295E-2</v>
      </c>
      <c r="S49" s="245">
        <f t="shared" si="6"/>
        <v>-9.7873042252566433E-3</v>
      </c>
      <c r="T49" s="245">
        <f t="shared" si="7"/>
        <v>-4.4780896047675989E-2</v>
      </c>
    </row>
    <row r="50" spans="1:20" s="245" customFormat="1">
      <c r="A50" s="396"/>
      <c r="B50" s="396">
        <v>47</v>
      </c>
      <c r="C50" s="397">
        <v>288.82729999999998</v>
      </c>
      <c r="D50" s="398">
        <v>6.4500000000000002E-2</v>
      </c>
      <c r="E50" s="398">
        <v>2.8999999999999998E-3</v>
      </c>
      <c r="F50" s="399">
        <v>1E-3</v>
      </c>
      <c r="H50" s="396"/>
      <c r="I50" s="396">
        <v>47</v>
      </c>
      <c r="J50" s="397">
        <v>230.97450000000001</v>
      </c>
      <c r="K50" s="398">
        <v>2.0400000000000001E-2</v>
      </c>
      <c r="L50" s="398">
        <v>2.3E-3</v>
      </c>
      <c r="M50" s="399">
        <v>4.0000000000000002E-4</v>
      </c>
      <c r="O50" s="396"/>
      <c r="P50" s="396">
        <v>47</v>
      </c>
      <c r="Q50" s="245">
        <f t="shared" si="4"/>
        <v>-1.1113860458523472E-2</v>
      </c>
      <c r="R50" s="245">
        <f t="shared" si="5"/>
        <v>-5.5931466237896688E-2</v>
      </c>
      <c r="S50" s="245">
        <f t="shared" si="6"/>
        <v>-1.1523174449933893E-2</v>
      </c>
      <c r="T50" s="245">
        <f t="shared" si="7"/>
        <v>-4.4780896047675989E-2</v>
      </c>
    </row>
    <row r="51" spans="1:20">
      <c r="A51" s="19"/>
      <c r="B51" s="19">
        <v>48</v>
      </c>
      <c r="C51" s="231">
        <v>291.5326</v>
      </c>
      <c r="D51" s="230">
        <v>6.4699999999999994E-2</v>
      </c>
      <c r="E51" s="230">
        <v>2.8999999999999998E-3</v>
      </c>
      <c r="F51" s="232">
        <v>1E-3</v>
      </c>
      <c r="H51" s="19"/>
      <c r="I51" s="19">
        <v>48</v>
      </c>
      <c r="J51" s="231">
        <v>233.93119999999999</v>
      </c>
      <c r="K51" s="230">
        <v>2.0500000000000001E-2</v>
      </c>
      <c r="L51" s="230">
        <v>2.3E-3</v>
      </c>
      <c r="M51" s="232">
        <v>4.0000000000000002E-4</v>
      </c>
      <c r="O51" s="19"/>
      <c r="P51" s="19">
        <v>48</v>
      </c>
      <c r="Q51">
        <f t="shared" si="4"/>
        <v>-1.0945891944535435E-2</v>
      </c>
      <c r="R51">
        <f t="shared" si="5"/>
        <v>-5.5846779134012592E-2</v>
      </c>
      <c r="S51">
        <f t="shared" si="6"/>
        <v>-1.1523174449933893E-2</v>
      </c>
      <c r="T51">
        <f t="shared" si="7"/>
        <v>-4.4780896047675989E-2</v>
      </c>
    </row>
    <row r="52" spans="1:20">
      <c r="A52" s="19"/>
      <c r="B52" s="19">
        <v>49</v>
      </c>
      <c r="C52" s="231">
        <v>294.26330000000002</v>
      </c>
      <c r="D52" s="230">
        <v>6.4899999999999999E-2</v>
      </c>
      <c r="E52" s="230">
        <v>2.8999999999999998E-3</v>
      </c>
      <c r="F52" s="232">
        <v>1E-3</v>
      </c>
      <c r="H52" s="19"/>
      <c r="I52" s="19">
        <v>49</v>
      </c>
      <c r="J52" s="231">
        <v>236.92570000000001</v>
      </c>
      <c r="K52" s="230">
        <v>2.06E-2</v>
      </c>
      <c r="L52" s="230">
        <v>2.3E-3</v>
      </c>
      <c r="M52" s="232">
        <v>4.0000000000000002E-4</v>
      </c>
      <c r="O52" s="19"/>
      <c r="P52" s="19">
        <v>49</v>
      </c>
      <c r="Q52">
        <f t="shared" si="4"/>
        <v>-1.0777915280250294E-2</v>
      </c>
      <c r="R52">
        <f t="shared" si="5"/>
        <v>-5.5762756737139485E-2</v>
      </c>
      <c r="S52">
        <f t="shared" si="6"/>
        <v>-1.1523174449933893E-2</v>
      </c>
      <c r="T52">
        <f t="shared" si="7"/>
        <v>-4.4780896047675989E-2</v>
      </c>
    </row>
    <row r="53" spans="1:20">
      <c r="A53" s="19"/>
      <c r="B53" s="19">
        <v>50</v>
      </c>
      <c r="C53" s="231">
        <v>297.01949999999999</v>
      </c>
      <c r="D53" s="230">
        <v>6.5199999999999994E-2</v>
      </c>
      <c r="E53" s="230">
        <v>2.8999999999999998E-3</v>
      </c>
      <c r="F53" s="232">
        <v>1E-3</v>
      </c>
      <c r="H53" s="19"/>
      <c r="I53" s="19">
        <v>50</v>
      </c>
      <c r="J53" s="231">
        <v>239.95859999999999</v>
      </c>
      <c r="K53" s="230">
        <v>2.07E-2</v>
      </c>
      <c r="L53" s="230">
        <v>2.3999999999999998E-3</v>
      </c>
      <c r="M53" s="232">
        <v>4.0000000000000002E-4</v>
      </c>
      <c r="O53" s="19"/>
      <c r="P53" s="19">
        <v>50</v>
      </c>
      <c r="Q53">
        <f t="shared" si="4"/>
        <v>-1.0609883115735186E-2</v>
      </c>
      <c r="R53">
        <f t="shared" si="5"/>
        <v>-5.5751861155984406E-2</v>
      </c>
      <c r="S53">
        <f t="shared" si="6"/>
        <v>-9.4174751729382278E-3</v>
      </c>
      <c r="T53">
        <f t="shared" si="7"/>
        <v>-4.4780896047675989E-2</v>
      </c>
    </row>
    <row r="54" spans="1:20">
      <c r="A54" s="19"/>
      <c r="B54" s="19">
        <v>51</v>
      </c>
      <c r="C54" s="231">
        <v>300.5677</v>
      </c>
      <c r="D54" s="230">
        <v>6.5500000000000003E-2</v>
      </c>
      <c r="E54" s="230">
        <v>3.0000000000000001E-3</v>
      </c>
      <c r="F54" s="232">
        <v>1E-3</v>
      </c>
      <c r="H54" s="19"/>
      <c r="I54" s="19">
        <v>51</v>
      </c>
      <c r="J54" s="231">
        <v>243.83770000000001</v>
      </c>
      <c r="K54" s="230">
        <v>2.0899999999999998E-2</v>
      </c>
      <c r="L54" s="230">
        <v>2.3999999999999998E-3</v>
      </c>
      <c r="M54" s="232">
        <v>4.0000000000000002E-4</v>
      </c>
      <c r="O54" s="19"/>
      <c r="P54" s="19">
        <v>51</v>
      </c>
      <c r="Q54">
        <f t="shared" si="4"/>
        <v>-1.0404008943918464E-2</v>
      </c>
      <c r="R54">
        <f t="shared" si="5"/>
        <v>-5.5514599158684619E-2</v>
      </c>
      <c r="S54">
        <f t="shared" si="6"/>
        <v>-1.1095167094968383E-2</v>
      </c>
      <c r="T54">
        <f t="shared" si="7"/>
        <v>-4.4780896047675989E-2</v>
      </c>
    </row>
    <row r="55" spans="1:20">
      <c r="A55" s="19"/>
      <c r="B55" s="19">
        <v>52</v>
      </c>
      <c r="C55" s="231">
        <v>304.1583</v>
      </c>
      <c r="D55" s="230">
        <v>6.59E-2</v>
      </c>
      <c r="E55" s="230">
        <v>3.0000000000000001E-3</v>
      </c>
      <c r="F55" s="232">
        <v>1E-3</v>
      </c>
      <c r="H55" s="19"/>
      <c r="I55" s="19">
        <v>52</v>
      </c>
      <c r="J55" s="231">
        <v>247.77940000000001</v>
      </c>
      <c r="K55" s="230">
        <v>2.1100000000000001E-2</v>
      </c>
      <c r="L55" s="230">
        <v>2.3999999999999998E-3</v>
      </c>
      <c r="M55" s="232">
        <v>4.0000000000000002E-4</v>
      </c>
      <c r="O55" s="19"/>
      <c r="P55" s="19">
        <v>52</v>
      </c>
      <c r="Q55">
        <f t="shared" si="4"/>
        <v>-1.0198115720507439E-2</v>
      </c>
      <c r="R55">
        <f t="shared" si="5"/>
        <v>-5.5352342340383776E-2</v>
      </c>
      <c r="S55">
        <f t="shared" si="6"/>
        <v>-1.1095167094968383E-2</v>
      </c>
      <c r="T55">
        <f t="shared" si="7"/>
        <v>-4.4780896047675989E-2</v>
      </c>
    </row>
    <row r="56" spans="1:20">
      <c r="A56" s="19"/>
      <c r="B56" s="19">
        <v>53</v>
      </c>
      <c r="C56" s="231">
        <v>307.79180000000002</v>
      </c>
      <c r="D56" s="230">
        <v>6.6299999999999998E-2</v>
      </c>
      <c r="E56" s="230">
        <v>3.0000000000000001E-3</v>
      </c>
      <c r="F56" s="232">
        <v>1E-3</v>
      </c>
      <c r="H56" s="19"/>
      <c r="I56" s="19">
        <v>53</v>
      </c>
      <c r="J56" s="231">
        <v>251.78489999999999</v>
      </c>
      <c r="K56" s="230">
        <v>2.1299999999999999E-2</v>
      </c>
      <c r="L56" s="230">
        <v>2.5000000000000001E-3</v>
      </c>
      <c r="M56" s="232">
        <v>4.0000000000000002E-4</v>
      </c>
      <c r="O56" s="19"/>
      <c r="P56" s="19">
        <v>53</v>
      </c>
      <c r="Q56">
        <f t="shared" si="4"/>
        <v>-9.9921646991731894E-3</v>
      </c>
      <c r="R56">
        <f t="shared" si="5"/>
        <v>-5.5192561678265917E-2</v>
      </c>
      <c r="S56">
        <f t="shared" si="6"/>
        <v>-9.074652376924619E-3</v>
      </c>
      <c r="T56">
        <f t="shared" si="7"/>
        <v>-4.4780896047675989E-2</v>
      </c>
    </row>
    <row r="57" spans="1:20">
      <c r="A57" s="19"/>
      <c r="B57" s="19">
        <v>54</v>
      </c>
      <c r="C57" s="231">
        <v>311.46870000000001</v>
      </c>
      <c r="D57" s="230">
        <v>6.6699999999999995E-2</v>
      </c>
      <c r="E57" s="230">
        <v>3.0999999999999999E-3</v>
      </c>
      <c r="F57" s="232">
        <v>1E-3</v>
      </c>
      <c r="H57" s="19"/>
      <c r="I57" s="19">
        <v>54</v>
      </c>
      <c r="J57" s="231">
        <v>255.8552</v>
      </c>
      <c r="K57" s="230">
        <v>2.1499999999999998E-2</v>
      </c>
      <c r="L57" s="230">
        <v>2.5000000000000001E-3</v>
      </c>
      <c r="M57" s="232">
        <v>4.0000000000000002E-4</v>
      </c>
      <c r="O57" s="19"/>
      <c r="P57" s="19">
        <v>54</v>
      </c>
      <c r="Q57">
        <f t="shared" si="4"/>
        <v>-9.7861604268671964E-3</v>
      </c>
      <c r="R57">
        <f t="shared" si="5"/>
        <v>-5.5035200028354492E-2</v>
      </c>
      <c r="S57">
        <f t="shared" si="6"/>
        <v>-1.069793466382285E-2</v>
      </c>
      <c r="T57">
        <f t="shared" si="7"/>
        <v>-4.4780896047675989E-2</v>
      </c>
    </row>
    <row r="58" spans="1:20">
      <c r="A58" s="19"/>
      <c r="B58" s="19">
        <v>55</v>
      </c>
      <c r="C58" s="231">
        <v>315.18950000000001</v>
      </c>
      <c r="D58" s="230">
        <v>6.7100000000000007E-2</v>
      </c>
      <c r="E58" s="230">
        <v>3.0999999999999999E-3</v>
      </c>
      <c r="F58" s="232">
        <v>1E-3</v>
      </c>
      <c r="H58" s="19"/>
      <c r="I58" s="19">
        <v>55</v>
      </c>
      <c r="J58" s="231">
        <v>259.99119999999999</v>
      </c>
      <c r="K58" s="230">
        <v>2.1700000000000001E-2</v>
      </c>
      <c r="L58" s="230">
        <v>2.5999999999999999E-3</v>
      </c>
      <c r="M58" s="232">
        <v>4.0000000000000002E-4</v>
      </c>
      <c r="O58" s="19"/>
      <c r="P58" s="19">
        <v>55</v>
      </c>
      <c r="Q58">
        <f t="shared" si="4"/>
        <v>-9.5801284111429741E-3</v>
      </c>
      <c r="R58">
        <f t="shared" si="5"/>
        <v>-5.488020201781818E-2</v>
      </c>
      <c r="S58">
        <f t="shared" si="6"/>
        <v>-8.75597453331034E-3</v>
      </c>
      <c r="T58">
        <f t="shared" si="7"/>
        <v>-4.4780896047675989E-2</v>
      </c>
    </row>
    <row r="59" spans="1:20">
      <c r="A59" s="19"/>
      <c r="B59" s="19">
        <v>56</v>
      </c>
      <c r="C59" s="231">
        <v>317.38749999999999</v>
      </c>
      <c r="D59" s="230">
        <v>6.6799999999999998E-2</v>
      </c>
      <c r="E59" s="230">
        <v>3.0999999999999999E-3</v>
      </c>
      <c r="F59" s="232">
        <v>1E-3</v>
      </c>
      <c r="H59" s="19"/>
      <c r="I59" s="19">
        <v>56</v>
      </c>
      <c r="J59" s="231">
        <v>262.64600000000002</v>
      </c>
      <c r="K59" s="230">
        <v>2.18E-2</v>
      </c>
      <c r="L59" s="230">
        <v>2.5999999999999999E-3</v>
      </c>
      <c r="M59" s="232">
        <v>4.0000000000000002E-4</v>
      </c>
      <c r="O59" s="19"/>
      <c r="P59" s="19">
        <v>56</v>
      </c>
      <c r="Q59">
        <f t="shared" si="4"/>
        <v>-9.4211555419577708E-3</v>
      </c>
      <c r="R59">
        <f t="shared" si="5"/>
        <v>-5.4451082964764419E-2</v>
      </c>
      <c r="S59">
        <f t="shared" si="6"/>
        <v>-8.75597453331034E-3</v>
      </c>
      <c r="T59">
        <f t="shared" si="7"/>
        <v>-4.4780896047675989E-2</v>
      </c>
    </row>
    <row r="60" spans="1:20">
      <c r="A60" s="19"/>
      <c r="B60" s="19">
        <v>57</v>
      </c>
      <c r="C60" s="231">
        <v>319.60090000000002</v>
      </c>
      <c r="D60" s="230">
        <v>6.6600000000000006E-2</v>
      </c>
      <c r="E60" s="230">
        <v>3.2000000000000002E-3</v>
      </c>
      <c r="F60" s="232">
        <v>1E-3</v>
      </c>
      <c r="H60" s="19"/>
      <c r="I60" s="19">
        <v>57</v>
      </c>
      <c r="J60" s="231">
        <v>265.3279</v>
      </c>
      <c r="K60" s="230">
        <v>2.1999999999999999E-2</v>
      </c>
      <c r="L60" s="230">
        <v>2.5999999999999999E-3</v>
      </c>
      <c r="M60" s="232">
        <v>4.0000000000000002E-4</v>
      </c>
      <c r="O60" s="19"/>
      <c r="P60" s="19">
        <v>57</v>
      </c>
      <c r="Q60">
        <f t="shared" si="4"/>
        <v>-9.2621699067425567E-3</v>
      </c>
      <c r="R60">
        <f t="shared" si="5"/>
        <v>-5.38773869346858E-2</v>
      </c>
      <c r="S60">
        <f t="shared" si="6"/>
        <v>-1.0328261627454927E-2</v>
      </c>
      <c r="T60">
        <f t="shared" si="7"/>
        <v>-4.4780896047675989E-2</v>
      </c>
    </row>
    <row r="61" spans="1:20">
      <c r="A61" s="19"/>
      <c r="B61" s="19">
        <v>58</v>
      </c>
      <c r="C61" s="231">
        <v>321.8297</v>
      </c>
      <c r="D61" s="230">
        <v>6.6400000000000001E-2</v>
      </c>
      <c r="E61" s="230">
        <v>3.2000000000000002E-3</v>
      </c>
      <c r="F61" s="232">
        <v>1.1000000000000001E-3</v>
      </c>
      <c r="H61" s="19"/>
      <c r="I61" s="19">
        <v>58</v>
      </c>
      <c r="J61" s="231">
        <v>268.03719999999998</v>
      </c>
      <c r="K61" s="230">
        <v>2.2200000000000001E-2</v>
      </c>
      <c r="L61" s="230">
        <v>2.5999999999999999E-3</v>
      </c>
      <c r="M61" s="232">
        <v>4.0000000000000002E-4</v>
      </c>
      <c r="O61" s="19"/>
      <c r="P61" s="19">
        <v>58</v>
      </c>
      <c r="Q61">
        <f t="shared" si="4"/>
        <v>-9.1031504850146439E-3</v>
      </c>
      <c r="R61">
        <f t="shared" si="5"/>
        <v>-5.330682808028786E-2</v>
      </c>
      <c r="S61">
        <f t="shared" si="6"/>
        <v>-1.0328261627454927E-2</v>
      </c>
      <c r="T61">
        <f t="shared" si="7"/>
        <v>-4.9322171935262227E-2</v>
      </c>
    </row>
    <row r="62" spans="1:20">
      <c r="A62" s="19"/>
      <c r="B62" s="19">
        <v>59</v>
      </c>
      <c r="C62" s="231">
        <v>324.07400000000001</v>
      </c>
      <c r="D62" s="230">
        <v>6.6199999999999995E-2</v>
      </c>
      <c r="E62" s="230">
        <v>3.2000000000000002E-3</v>
      </c>
      <c r="F62" s="232">
        <v>1.1000000000000001E-3</v>
      </c>
      <c r="H62" s="19"/>
      <c r="I62" s="19">
        <v>59</v>
      </c>
      <c r="J62" s="231">
        <v>270.77409999999998</v>
      </c>
      <c r="K62" s="230">
        <v>2.23E-2</v>
      </c>
      <c r="L62" s="230">
        <v>2.7000000000000001E-3</v>
      </c>
      <c r="M62" s="232">
        <v>4.0000000000000002E-4</v>
      </c>
      <c r="O62" s="19"/>
      <c r="P62" s="19">
        <v>59</v>
      </c>
      <c r="Q62">
        <f t="shared" si="4"/>
        <v>-8.9441108705354821E-3</v>
      </c>
      <c r="R62">
        <f t="shared" si="5"/>
        <v>-5.2951231490418249E-2</v>
      </c>
      <c r="S62">
        <f t="shared" si="6"/>
        <v>-8.4589716916818602E-3</v>
      </c>
      <c r="T62">
        <f t="shared" si="7"/>
        <v>-4.9322171935262227E-2</v>
      </c>
    </row>
    <row r="63" spans="1:20">
      <c r="A63" s="19"/>
      <c r="B63" s="19">
        <v>60</v>
      </c>
      <c r="C63" s="231">
        <v>326.334</v>
      </c>
      <c r="D63" s="230">
        <v>6.6000000000000003E-2</v>
      </c>
      <c r="E63" s="230">
        <v>3.2000000000000002E-3</v>
      </c>
      <c r="F63" s="232">
        <v>1.1000000000000001E-3</v>
      </c>
      <c r="H63" s="19"/>
      <c r="I63" s="19">
        <v>60</v>
      </c>
      <c r="J63" s="231">
        <v>273.53899999999999</v>
      </c>
      <c r="K63" s="230">
        <v>2.2499999999999999E-2</v>
      </c>
      <c r="L63" s="230">
        <v>2.7000000000000001E-3</v>
      </c>
      <c r="M63" s="232">
        <v>4.0000000000000002E-4</v>
      </c>
      <c r="O63" s="19"/>
      <c r="P63" s="19">
        <v>60</v>
      </c>
      <c r="Q63">
        <f t="shared" si="4"/>
        <v>-8.7850434593765847E-3</v>
      </c>
      <c r="R63">
        <f t="shared" si="5"/>
        <v>-5.238499458146173E-2</v>
      </c>
      <c r="S63">
        <f t="shared" si="6"/>
        <v>-8.4589716916818602E-3</v>
      </c>
      <c r="T63">
        <f t="shared" si="7"/>
        <v>-4.9322171935262227E-2</v>
      </c>
    </row>
    <row r="64" spans="1:20">
      <c r="A64" s="19"/>
      <c r="B64" s="19">
        <v>61</v>
      </c>
      <c r="C64" s="231">
        <v>328.7321</v>
      </c>
      <c r="D64" s="230">
        <v>6.7199999999999996E-2</v>
      </c>
      <c r="E64" s="230">
        <v>3.2000000000000002E-3</v>
      </c>
      <c r="F64" s="232">
        <v>1.1000000000000001E-3</v>
      </c>
      <c r="H64" s="19"/>
      <c r="I64" s="19">
        <v>61</v>
      </c>
      <c r="J64" s="231">
        <v>275.30180000000001</v>
      </c>
      <c r="K64" s="230">
        <v>2.2700000000000001E-2</v>
      </c>
      <c r="L64" s="230">
        <v>2.7000000000000001E-3</v>
      </c>
      <c r="M64" s="232">
        <v>4.0000000000000002E-4</v>
      </c>
      <c r="O64" s="19"/>
      <c r="P64" s="19">
        <v>61</v>
      </c>
      <c r="Q64">
        <f t="shared" si="4"/>
        <v>-8.8295477047456439E-3</v>
      </c>
      <c r="R64">
        <f t="shared" si="5"/>
        <v>-5.2819323913950722E-2</v>
      </c>
      <c r="S64">
        <f t="shared" si="6"/>
        <v>-8.4589716916818602E-3</v>
      </c>
      <c r="T64">
        <f t="shared" si="7"/>
        <v>-4.9322171935262227E-2</v>
      </c>
    </row>
    <row r="65" spans="1:20">
      <c r="A65" s="19"/>
      <c r="B65" s="19">
        <v>62</v>
      </c>
      <c r="C65" s="231">
        <v>331.14769999999999</v>
      </c>
      <c r="D65" s="230">
        <v>6.8400000000000002E-2</v>
      </c>
      <c r="E65" s="230">
        <v>3.3E-3</v>
      </c>
      <c r="F65" s="232">
        <v>1.1000000000000001E-3</v>
      </c>
      <c r="H65" s="19"/>
      <c r="I65" s="19">
        <v>62</v>
      </c>
      <c r="J65" s="231">
        <v>277.07600000000002</v>
      </c>
      <c r="K65" s="230">
        <v>2.29E-2</v>
      </c>
      <c r="L65" s="230">
        <v>2.7000000000000001E-3</v>
      </c>
      <c r="M65" s="232">
        <v>4.0000000000000002E-4</v>
      </c>
      <c r="O65" s="19"/>
      <c r="P65" s="19">
        <v>62</v>
      </c>
      <c r="Q65">
        <f t="shared" si="4"/>
        <v>-8.8740244766164489E-3</v>
      </c>
      <c r="R65">
        <f t="shared" si="5"/>
        <v>-5.3242031648105481E-2</v>
      </c>
      <c r="S65">
        <f t="shared" si="6"/>
        <v>-9.9833667906824575E-3</v>
      </c>
      <c r="T65">
        <f t="shared" si="7"/>
        <v>-4.9322171935262227E-2</v>
      </c>
    </row>
    <row r="66" spans="1:20">
      <c r="A66" s="19"/>
      <c r="B66" s="19">
        <v>63</v>
      </c>
      <c r="C66" s="231">
        <v>333.58120000000002</v>
      </c>
      <c r="D66" s="230">
        <v>6.9699999999999998E-2</v>
      </c>
      <c r="E66" s="230">
        <v>3.3E-3</v>
      </c>
      <c r="F66" s="232">
        <v>1.1999999999999999E-3</v>
      </c>
      <c r="H66" s="19"/>
      <c r="I66" s="19">
        <v>63</v>
      </c>
      <c r="J66" s="231">
        <v>278.86160000000001</v>
      </c>
      <c r="K66" s="230">
        <v>2.3099999999999999E-2</v>
      </c>
      <c r="L66" s="230">
        <v>2.8E-3</v>
      </c>
      <c r="M66" s="232">
        <v>4.0000000000000002E-4</v>
      </c>
      <c r="O66" s="19"/>
      <c r="P66" s="19">
        <v>63</v>
      </c>
      <c r="Q66">
        <f t="shared" si="4"/>
        <v>-8.9185275094154637E-3</v>
      </c>
      <c r="R66">
        <f t="shared" si="5"/>
        <v>-5.3721527648601386E-2</v>
      </c>
      <c r="S66">
        <f t="shared" si="6"/>
        <v>-8.1815004143031E-3</v>
      </c>
      <c r="T66">
        <f t="shared" si="7"/>
        <v>-5.3449177359840783E-2</v>
      </c>
    </row>
    <row r="67" spans="1:20">
      <c r="A67" s="19"/>
      <c r="B67" s="19">
        <v>64</v>
      </c>
      <c r="C67" s="231">
        <v>336.03250000000003</v>
      </c>
      <c r="D67" s="230">
        <v>7.0999999999999994E-2</v>
      </c>
      <c r="E67" s="230">
        <v>3.3E-3</v>
      </c>
      <c r="F67" s="232">
        <v>1.1999999999999999E-3</v>
      </c>
      <c r="H67" s="19"/>
      <c r="I67" s="19">
        <v>64</v>
      </c>
      <c r="J67" s="231">
        <v>280.65870000000001</v>
      </c>
      <c r="K67" s="230">
        <v>2.3300000000000001E-2</v>
      </c>
      <c r="L67" s="230">
        <v>2.8E-3</v>
      </c>
      <c r="M67" s="232">
        <v>5.0000000000000001E-4</v>
      </c>
      <c r="O67" s="19"/>
      <c r="P67" s="19">
        <v>64</v>
      </c>
      <c r="Q67">
        <f t="shared" si="4"/>
        <v>-8.9630175713177884E-3</v>
      </c>
      <c r="R67">
        <f t="shared" si="5"/>
        <v>-5.4187871977192215E-2</v>
      </c>
      <c r="S67">
        <f t="shared" si="6"/>
        <v>-8.1815004143031E-3</v>
      </c>
      <c r="T67">
        <f t="shared" si="7"/>
        <v>-4.2829207478390141E-2</v>
      </c>
    </row>
    <row r="68" spans="1:20">
      <c r="A68" s="19"/>
      <c r="B68" s="19">
        <v>65</v>
      </c>
      <c r="C68" s="231">
        <v>338.5018</v>
      </c>
      <c r="D68" s="230">
        <v>7.2300000000000003E-2</v>
      </c>
      <c r="E68" s="230">
        <v>3.3E-3</v>
      </c>
      <c r="F68" s="232">
        <v>1.1999999999999999E-3</v>
      </c>
      <c r="H68" s="19"/>
      <c r="I68" s="19">
        <v>65</v>
      </c>
      <c r="J68" s="231">
        <v>282.46730000000002</v>
      </c>
      <c r="K68" s="230">
        <v>2.35E-2</v>
      </c>
      <c r="L68" s="230">
        <v>2.8E-3</v>
      </c>
      <c r="M68" s="232">
        <v>5.0000000000000001E-4</v>
      </c>
      <c r="O68" s="19"/>
      <c r="P68" s="19">
        <v>65</v>
      </c>
      <c r="Q68">
        <f t="shared" si="4"/>
        <v>-9.0075179550669349E-3</v>
      </c>
      <c r="R68">
        <f t="shared" si="5"/>
        <v>-5.4641620108700439E-2</v>
      </c>
      <c r="S68">
        <f t="shared" si="6"/>
        <v>-8.1815004143031E-3</v>
      </c>
      <c r="T68">
        <f t="shared" si="7"/>
        <v>-4.2829207478390141E-2</v>
      </c>
    </row>
    <row r="69" spans="1:20">
      <c r="A69" s="19"/>
      <c r="B69" s="19">
        <v>66</v>
      </c>
      <c r="C69" s="231">
        <v>339.07780000000002</v>
      </c>
      <c r="D69" s="230">
        <v>7.2800000000000004E-2</v>
      </c>
      <c r="E69" s="230">
        <v>3.3999999999999998E-3</v>
      </c>
      <c r="F69" s="232">
        <v>1.1999999999999999E-3</v>
      </c>
      <c r="H69" s="19"/>
      <c r="I69" s="19">
        <v>66</v>
      </c>
      <c r="J69" s="231">
        <v>283.24509999999998</v>
      </c>
      <c r="K69" s="230">
        <v>2.3599999999999999E-2</v>
      </c>
      <c r="L69" s="230">
        <v>2.8E-3</v>
      </c>
      <c r="M69" s="232">
        <v>5.0000000000000001E-4</v>
      </c>
      <c r="O69" s="19"/>
      <c r="P69" s="19">
        <v>66</v>
      </c>
      <c r="Q69">
        <f t="shared" si="4"/>
        <v>-8.9555073615004144E-3</v>
      </c>
      <c r="R69">
        <f t="shared" si="5"/>
        <v>-5.4766660780004139E-2</v>
      </c>
      <c r="S69">
        <f t="shared" si="6"/>
        <v>-9.6608321347225745E-3</v>
      </c>
      <c r="T69">
        <f t="shared" si="7"/>
        <v>-4.2829207478390141E-2</v>
      </c>
    </row>
    <row r="70" spans="1:20">
      <c r="A70" s="19"/>
      <c r="B70" s="19">
        <v>67</v>
      </c>
      <c r="C70" s="231">
        <v>339.65469999999999</v>
      </c>
      <c r="D70" s="230">
        <v>7.3200000000000001E-2</v>
      </c>
      <c r="E70" s="230">
        <v>3.3999999999999998E-3</v>
      </c>
      <c r="F70" s="232">
        <v>1.2999999999999999E-3</v>
      </c>
      <c r="H70" s="19"/>
      <c r="I70" s="19">
        <v>67</v>
      </c>
      <c r="J70" s="231">
        <v>284.02499999999998</v>
      </c>
      <c r="K70" s="230">
        <v>2.3699999999999999E-2</v>
      </c>
      <c r="L70" s="230">
        <v>2.8E-3</v>
      </c>
      <c r="M70" s="232">
        <v>5.0000000000000001E-4</v>
      </c>
      <c r="O70" s="19"/>
      <c r="P70" s="19">
        <v>67</v>
      </c>
      <c r="Q70">
        <f t="shared" si="4"/>
        <v>-8.9034896307070843E-3</v>
      </c>
      <c r="R70">
        <f t="shared" si="5"/>
        <v>-5.4825789403630143E-2</v>
      </c>
      <c r="S70">
        <f t="shared" si="6"/>
        <v>-9.6608321347225745E-3</v>
      </c>
      <c r="T70">
        <f t="shared" si="7"/>
        <v>-4.6652279247091366E-2</v>
      </c>
    </row>
    <row r="71" spans="1:20">
      <c r="A71" s="19"/>
      <c r="B71" s="19">
        <v>68</v>
      </c>
      <c r="C71" s="231">
        <v>340.23259999999999</v>
      </c>
      <c r="D71" s="230">
        <v>7.3700000000000002E-2</v>
      </c>
      <c r="E71" s="230">
        <v>3.3999999999999998E-3</v>
      </c>
      <c r="F71" s="232">
        <v>1.2999999999999999E-3</v>
      </c>
      <c r="H71" s="19"/>
      <c r="I71" s="19">
        <v>68</v>
      </c>
      <c r="J71" s="231">
        <v>284.80700000000002</v>
      </c>
      <c r="K71" s="230">
        <v>2.3800000000000002E-2</v>
      </c>
      <c r="L71" s="230">
        <v>2.8E-3</v>
      </c>
      <c r="M71" s="232">
        <v>5.0000000000000001E-4</v>
      </c>
      <c r="O71" s="19"/>
      <c r="P71" s="19">
        <v>68</v>
      </c>
      <c r="Q71">
        <f t="shared" si="4"/>
        <v>-8.8514801104296881E-3</v>
      </c>
      <c r="R71">
        <f t="shared" si="5"/>
        <v>-5.4948505015453786E-2</v>
      </c>
      <c r="S71">
        <f t="shared" si="6"/>
        <v>-9.6608321347225745E-3</v>
      </c>
      <c r="T71">
        <f t="shared" si="7"/>
        <v>-4.6652279247091366E-2</v>
      </c>
    </row>
    <row r="72" spans="1:20">
      <c r="A72" s="19"/>
      <c r="B72" s="19">
        <v>69</v>
      </c>
      <c r="C72" s="231">
        <v>340.81150000000002</v>
      </c>
      <c r="D72" s="230">
        <v>7.4200000000000002E-2</v>
      </c>
      <c r="E72" s="230">
        <v>3.3999999999999998E-3</v>
      </c>
      <c r="F72" s="232">
        <v>1.2999999999999999E-3</v>
      </c>
      <c r="H72" s="19"/>
      <c r="I72" s="19">
        <v>69</v>
      </c>
      <c r="J72" s="231">
        <v>285.59120000000001</v>
      </c>
      <c r="K72" s="230">
        <v>2.3900000000000001E-2</v>
      </c>
      <c r="L72" s="230">
        <v>2.8E-3</v>
      </c>
      <c r="M72" s="232">
        <v>5.0000000000000001E-4</v>
      </c>
      <c r="O72" s="19"/>
      <c r="P72" s="19">
        <v>69</v>
      </c>
      <c r="Q72">
        <f t="shared" si="4"/>
        <v>-8.7994621503217907E-3</v>
      </c>
      <c r="R72">
        <f t="shared" si="5"/>
        <v>-5.5069864171693905E-2</v>
      </c>
      <c r="S72">
        <f t="shared" si="6"/>
        <v>-9.6608321347225745E-3</v>
      </c>
      <c r="T72">
        <f t="shared" si="7"/>
        <v>-4.6652279247091366E-2</v>
      </c>
    </row>
    <row r="73" spans="1:20">
      <c r="A73" s="19"/>
      <c r="B73" s="19">
        <v>70</v>
      </c>
      <c r="C73" s="231">
        <v>341.39139999999998</v>
      </c>
      <c r="D73" s="230">
        <v>7.46E-2</v>
      </c>
      <c r="E73" s="230">
        <v>3.3999999999999998E-3</v>
      </c>
      <c r="F73" s="232">
        <v>1.2999999999999999E-3</v>
      </c>
      <c r="H73" s="19"/>
      <c r="I73" s="19">
        <v>70</v>
      </c>
      <c r="J73" s="231">
        <v>286.3775</v>
      </c>
      <c r="K73" s="230">
        <v>2.41E-2</v>
      </c>
      <c r="L73" s="230">
        <v>2.8E-3</v>
      </c>
      <c r="M73" s="232">
        <v>5.0000000000000001E-4</v>
      </c>
      <c r="O73" s="19"/>
      <c r="P73" s="19">
        <v>70</v>
      </c>
      <c r="Q73">
        <f t="shared" si="4"/>
        <v>-8.7474538938423496E-3</v>
      </c>
      <c r="R73">
        <f t="shared" si="5"/>
        <v>-5.4930144763908451E-2</v>
      </c>
      <c r="S73">
        <f t="shared" si="6"/>
        <v>-9.6608321347225745E-3</v>
      </c>
      <c r="T73">
        <f t="shared" si="7"/>
        <v>-4.6652279247091366E-2</v>
      </c>
    </row>
    <row r="74" spans="1:20">
      <c r="A74" s="19"/>
      <c r="B74" s="23"/>
      <c r="C74" s="21"/>
      <c r="D74" s="20"/>
      <c r="E74" s="20"/>
      <c r="F74" s="22"/>
      <c r="H74" s="19"/>
      <c r="I74" s="23"/>
      <c r="J74" s="21"/>
      <c r="K74" s="20"/>
      <c r="L74" s="20"/>
      <c r="M74" s="22"/>
      <c r="O74" s="19"/>
    </row>
    <row r="76" spans="1:20" ht="15.6">
      <c r="A76" s="15" t="s">
        <v>26</v>
      </c>
      <c r="B76" s="15" t="s">
        <v>19</v>
      </c>
      <c r="C76" s="16" t="s">
        <v>27</v>
      </c>
      <c r="D76" s="17" t="s">
        <v>28</v>
      </c>
      <c r="E76" s="17" t="s">
        <v>29</v>
      </c>
      <c r="F76" s="18" t="s">
        <v>30</v>
      </c>
      <c r="H76" s="15" t="s">
        <v>26</v>
      </c>
      <c r="I76" s="15" t="s">
        <v>19</v>
      </c>
      <c r="J76" s="16" t="s">
        <v>27</v>
      </c>
      <c r="K76" s="17" t="s">
        <v>28</v>
      </c>
      <c r="L76" s="17" t="s">
        <v>29</v>
      </c>
      <c r="M76" s="18" t="s">
        <v>30</v>
      </c>
      <c r="O76" s="15" t="s">
        <v>26</v>
      </c>
      <c r="P76" s="15" t="s">
        <v>19</v>
      </c>
      <c r="Q76" s="16" t="s">
        <v>27</v>
      </c>
      <c r="R76" s="17" t="s">
        <v>28</v>
      </c>
      <c r="S76" s="17" t="s">
        <v>29</v>
      </c>
      <c r="T76" s="18" t="s">
        <v>30</v>
      </c>
    </row>
    <row r="77" spans="1:20">
      <c r="A77" s="19" t="s">
        <v>13</v>
      </c>
      <c r="B77" s="19">
        <v>0</v>
      </c>
      <c r="C77" s="231">
        <v>11.029400000000001</v>
      </c>
      <c r="D77" s="230">
        <v>1.0065</v>
      </c>
      <c r="E77" s="230">
        <v>1E-4</v>
      </c>
      <c r="F77" s="232">
        <v>1E-4</v>
      </c>
      <c r="H77" s="19" t="s">
        <v>13</v>
      </c>
      <c r="I77" s="19">
        <v>0</v>
      </c>
      <c r="J77" s="231">
        <v>5.1022999999999996</v>
      </c>
      <c r="K77" s="230">
        <v>0.76559999999999995</v>
      </c>
      <c r="L77" s="230">
        <v>1E-4</v>
      </c>
      <c r="M77" s="232">
        <v>0</v>
      </c>
      <c r="O77" s="19" t="s">
        <v>13</v>
      </c>
      <c r="P77" s="19">
        <v>0</v>
      </c>
      <c r="Q77" s="182">
        <f t="shared" ref="Q77:Q108" si="8">((J77/C77)^(1/(2044-2024))-1)</f>
        <v>-3.7810296538035471E-2</v>
      </c>
      <c r="R77" s="182">
        <f t="shared" ref="R77:R108" si="9">((K77/D77)^(1/(2044-2024))-1)</f>
        <v>-1.358559166345763E-2</v>
      </c>
      <c r="S77" s="182">
        <f t="shared" ref="S77:S108" si="10">((L77/E77)^(1/(2044-2024))-1)</f>
        <v>0</v>
      </c>
      <c r="T77" s="182">
        <f t="shared" ref="T77:T108" si="11">((M77/F77)^(1/(2044-2024))-1)</f>
        <v>-1</v>
      </c>
    </row>
    <row r="78" spans="1:20">
      <c r="A78" s="19"/>
      <c r="B78" s="19">
        <v>5</v>
      </c>
      <c r="C78" s="231">
        <v>1696.8925999999999</v>
      </c>
      <c r="D78" s="230">
        <v>2.1959</v>
      </c>
      <c r="E78" s="230">
        <v>1.6400000000000001E-2</v>
      </c>
      <c r="F78" s="232">
        <v>4.5999999999999999E-2</v>
      </c>
      <c r="H78" s="19"/>
      <c r="I78" s="19">
        <v>5</v>
      </c>
      <c r="J78" s="231">
        <v>865.16229999999996</v>
      </c>
      <c r="K78" s="230">
        <v>0.42770000000000002</v>
      </c>
      <c r="L78" s="230">
        <v>8.3000000000000001E-3</v>
      </c>
      <c r="M78" s="232">
        <v>9.4999999999999998E-3</v>
      </c>
      <c r="O78" s="19"/>
      <c r="P78" s="19">
        <v>5</v>
      </c>
      <c r="Q78" s="182">
        <f t="shared" si="8"/>
        <v>-3.3120924738515467E-2</v>
      </c>
      <c r="R78" s="182">
        <f t="shared" si="9"/>
        <v>-7.8540324490949498E-2</v>
      </c>
      <c r="S78" s="182">
        <f t="shared" si="10"/>
        <v>-3.3478070511481217E-2</v>
      </c>
      <c r="T78" s="182">
        <f t="shared" si="11"/>
        <v>-7.5837613572139362E-2</v>
      </c>
    </row>
    <row r="79" spans="1:20">
      <c r="A79" s="19"/>
      <c r="B79" s="19">
        <v>6</v>
      </c>
      <c r="C79" s="231">
        <v>1668.3322000000001</v>
      </c>
      <c r="D79" s="230">
        <v>2.2233000000000001</v>
      </c>
      <c r="E79" s="230">
        <v>1.61E-2</v>
      </c>
      <c r="F79" s="232">
        <v>4.4299999999999999E-2</v>
      </c>
      <c r="H79" s="19"/>
      <c r="I79" s="19">
        <v>6</v>
      </c>
      <c r="J79" s="231">
        <v>866.04849999999999</v>
      </c>
      <c r="K79" s="230">
        <v>0.50160000000000005</v>
      </c>
      <c r="L79" s="230">
        <v>8.3000000000000001E-3</v>
      </c>
      <c r="M79" s="232">
        <v>9.1999999999999998E-3</v>
      </c>
      <c r="O79" s="19"/>
      <c r="P79" s="19">
        <v>6</v>
      </c>
      <c r="Q79" s="182">
        <f t="shared" si="8"/>
        <v>-3.2250436535452343E-2</v>
      </c>
      <c r="R79" s="182">
        <f t="shared" si="9"/>
        <v>-7.1743555593082542E-2</v>
      </c>
      <c r="S79" s="182">
        <f t="shared" si="10"/>
        <v>-3.2585459158783414E-2</v>
      </c>
      <c r="T79" s="182">
        <f t="shared" si="11"/>
        <v>-7.5580272231856926E-2</v>
      </c>
    </row>
    <row r="80" spans="1:20">
      <c r="A80" s="19"/>
      <c r="B80" s="19">
        <v>7</v>
      </c>
      <c r="C80" s="231">
        <v>1640.2524000000001</v>
      </c>
      <c r="D80" s="230">
        <v>2.2511000000000001</v>
      </c>
      <c r="E80" s="230">
        <v>1.5699999999999999E-2</v>
      </c>
      <c r="F80" s="232">
        <v>4.2599999999999999E-2</v>
      </c>
      <c r="H80" s="19"/>
      <c r="I80" s="19">
        <v>7</v>
      </c>
      <c r="J80" s="231">
        <v>866.9357</v>
      </c>
      <c r="K80" s="230">
        <v>0.58819999999999995</v>
      </c>
      <c r="L80" s="230">
        <v>8.2000000000000007E-3</v>
      </c>
      <c r="M80" s="232">
        <v>8.9999999999999993E-3</v>
      </c>
      <c r="O80" s="19"/>
      <c r="P80" s="19">
        <v>7</v>
      </c>
      <c r="Q80" s="182">
        <f t="shared" si="8"/>
        <v>-3.1379156516321172E-2</v>
      </c>
      <c r="R80" s="182">
        <f t="shared" si="9"/>
        <v>-6.4903327439215563E-2</v>
      </c>
      <c r="S80" s="182">
        <f t="shared" si="10"/>
        <v>-3.1954634777301094E-2</v>
      </c>
      <c r="T80" s="182">
        <f t="shared" si="11"/>
        <v>-7.4787172172301464E-2</v>
      </c>
    </row>
    <row r="81" spans="1:20">
      <c r="A81" s="19"/>
      <c r="B81" s="19">
        <v>8</v>
      </c>
      <c r="C81" s="231">
        <v>1612.6452999999999</v>
      </c>
      <c r="D81" s="230">
        <v>2.2791999999999999</v>
      </c>
      <c r="E81" s="230">
        <v>1.54E-2</v>
      </c>
      <c r="F81" s="232">
        <v>4.1000000000000002E-2</v>
      </c>
      <c r="H81" s="19"/>
      <c r="I81" s="19">
        <v>8</v>
      </c>
      <c r="J81" s="231">
        <v>867.82380000000001</v>
      </c>
      <c r="K81" s="230">
        <v>0.68969999999999998</v>
      </c>
      <c r="L81" s="230">
        <v>8.2000000000000007E-3</v>
      </c>
      <c r="M81" s="232">
        <v>8.6999999999999994E-3</v>
      </c>
      <c r="O81" s="19"/>
      <c r="P81" s="19">
        <v>8</v>
      </c>
      <c r="Q81" s="182">
        <f t="shared" si="8"/>
        <v>-3.0507095186426358E-2</v>
      </c>
      <c r="R81" s="182">
        <f t="shared" si="9"/>
        <v>-5.8015211982291426E-2</v>
      </c>
      <c r="S81" s="182">
        <f t="shared" si="10"/>
        <v>-3.1020349431772343E-2</v>
      </c>
      <c r="T81" s="182">
        <f t="shared" si="11"/>
        <v>-7.4584498997222415E-2</v>
      </c>
    </row>
    <row r="82" spans="1:20">
      <c r="A82" s="19"/>
      <c r="B82" s="19">
        <v>9</v>
      </c>
      <c r="C82" s="231">
        <v>1585.5029</v>
      </c>
      <c r="D82" s="230">
        <v>2.3075999999999999</v>
      </c>
      <c r="E82" s="230">
        <v>1.5100000000000001E-2</v>
      </c>
      <c r="F82" s="232">
        <v>3.95E-2</v>
      </c>
      <c r="H82" s="19"/>
      <c r="I82" s="19">
        <v>9</v>
      </c>
      <c r="J82" s="231">
        <v>868.71280000000002</v>
      </c>
      <c r="K82" s="230">
        <v>0.80879999999999996</v>
      </c>
      <c r="L82" s="230">
        <v>8.2000000000000007E-3</v>
      </c>
      <c r="M82" s="232">
        <v>8.3999999999999995E-3</v>
      </c>
      <c r="O82" s="19"/>
      <c r="P82" s="19">
        <v>9</v>
      </c>
      <c r="Q82" s="182">
        <f t="shared" si="8"/>
        <v>-2.9634250643086446E-2</v>
      </c>
      <c r="R82" s="182">
        <f t="shared" si="9"/>
        <v>-5.1070319586751345E-2</v>
      </c>
      <c r="S82" s="182">
        <f t="shared" si="10"/>
        <v>-3.0066755035906612E-2</v>
      </c>
      <c r="T82" s="182">
        <f t="shared" si="11"/>
        <v>-7.4483619739945883E-2</v>
      </c>
    </row>
    <row r="83" spans="1:20">
      <c r="A83" s="19"/>
      <c r="B83" s="19">
        <v>10</v>
      </c>
      <c r="C83" s="231">
        <v>1558.8172</v>
      </c>
      <c r="D83" s="230">
        <v>2.3365</v>
      </c>
      <c r="E83" s="230">
        <v>1.4800000000000001E-2</v>
      </c>
      <c r="F83" s="232">
        <v>3.7999999999999999E-2</v>
      </c>
      <c r="H83" s="19"/>
      <c r="I83" s="19">
        <v>10</v>
      </c>
      <c r="J83" s="231">
        <v>869.60270000000003</v>
      </c>
      <c r="K83" s="230">
        <v>0.94840000000000002</v>
      </c>
      <c r="L83" s="230">
        <v>8.0999999999999996E-3</v>
      </c>
      <c r="M83" s="232">
        <v>8.2000000000000007E-3</v>
      </c>
      <c r="O83" s="19"/>
      <c r="P83" s="19">
        <v>10</v>
      </c>
      <c r="Q83" s="182">
        <f t="shared" si="8"/>
        <v>-2.8760616716949405E-2</v>
      </c>
      <c r="R83" s="182">
        <f t="shared" si="9"/>
        <v>-4.4080572554634712E-2</v>
      </c>
      <c r="S83" s="182">
        <f t="shared" si="10"/>
        <v>-2.968853001949745E-2</v>
      </c>
      <c r="T83" s="182">
        <f t="shared" si="11"/>
        <v>-7.3806960679273059E-2</v>
      </c>
    </row>
    <row r="84" spans="1:20">
      <c r="A84" s="19"/>
      <c r="B84" s="19">
        <v>11</v>
      </c>
      <c r="C84" s="231">
        <v>1490.2475999999999</v>
      </c>
      <c r="D84" s="230">
        <v>2.1839</v>
      </c>
      <c r="E84" s="230">
        <v>1.41E-2</v>
      </c>
      <c r="F84" s="232">
        <v>3.5999999999999997E-2</v>
      </c>
      <c r="H84" s="19"/>
      <c r="I84" s="19">
        <v>11</v>
      </c>
      <c r="J84" s="231">
        <v>836.53880000000004</v>
      </c>
      <c r="K84" s="230">
        <v>0.88519999999999999</v>
      </c>
      <c r="L84" s="230">
        <v>7.7999999999999996E-3</v>
      </c>
      <c r="M84" s="232">
        <v>7.9000000000000008E-3</v>
      </c>
      <c r="O84" s="19"/>
      <c r="P84" s="19">
        <v>11</v>
      </c>
      <c r="Q84" s="182">
        <f t="shared" si="8"/>
        <v>-2.8458440927483286E-2</v>
      </c>
      <c r="R84" s="182">
        <f t="shared" si="9"/>
        <v>-4.4148484974237956E-2</v>
      </c>
      <c r="S84" s="182">
        <f t="shared" si="10"/>
        <v>-2.9168689306627082E-2</v>
      </c>
      <c r="T84" s="182">
        <f t="shared" si="11"/>
        <v>-7.302882511080655E-2</v>
      </c>
    </row>
    <row r="85" spans="1:20">
      <c r="A85" s="19"/>
      <c r="B85" s="19">
        <v>12</v>
      </c>
      <c r="C85" s="231">
        <v>1424.6943000000001</v>
      </c>
      <c r="D85" s="230">
        <v>2.0413000000000001</v>
      </c>
      <c r="E85" s="230">
        <v>1.35E-2</v>
      </c>
      <c r="F85" s="232">
        <v>3.4099999999999998E-2</v>
      </c>
      <c r="H85" s="19"/>
      <c r="I85" s="19">
        <v>12</v>
      </c>
      <c r="J85" s="231">
        <v>804.73209999999995</v>
      </c>
      <c r="K85" s="230">
        <v>0.82609999999999995</v>
      </c>
      <c r="L85" s="230">
        <v>7.4999999999999997E-3</v>
      </c>
      <c r="M85" s="232">
        <v>7.7000000000000002E-3</v>
      </c>
      <c r="O85" s="19"/>
      <c r="P85" s="19">
        <v>12</v>
      </c>
      <c r="Q85" s="182">
        <f t="shared" si="8"/>
        <v>-2.8156169673574594E-2</v>
      </c>
      <c r="R85" s="182">
        <f t="shared" si="9"/>
        <v>-4.4223629494889782E-2</v>
      </c>
      <c r="S85" s="182">
        <f t="shared" si="10"/>
        <v>-2.8961666643572803E-2</v>
      </c>
      <c r="T85" s="182">
        <f t="shared" si="11"/>
        <v>-7.1703277074458338E-2</v>
      </c>
    </row>
    <row r="86" spans="1:20">
      <c r="A86" s="19"/>
      <c r="B86" s="19">
        <v>13</v>
      </c>
      <c r="C86" s="231">
        <v>1362.0246</v>
      </c>
      <c r="D86" s="230">
        <v>1.9079999999999999</v>
      </c>
      <c r="E86" s="230">
        <v>1.29E-2</v>
      </c>
      <c r="F86" s="232">
        <v>3.2300000000000002E-2</v>
      </c>
      <c r="H86" s="19"/>
      <c r="I86" s="19">
        <v>13</v>
      </c>
      <c r="J86" s="231">
        <v>774.13480000000004</v>
      </c>
      <c r="K86" s="230">
        <v>0.77100000000000002</v>
      </c>
      <c r="L86" s="230">
        <v>7.3000000000000001E-3</v>
      </c>
      <c r="M86" s="232">
        <v>7.4000000000000003E-3</v>
      </c>
      <c r="O86" s="19"/>
      <c r="P86" s="19">
        <v>13</v>
      </c>
      <c r="Q86" s="182">
        <f t="shared" si="8"/>
        <v>-2.7853802109225612E-2</v>
      </c>
      <c r="R86" s="182">
        <f t="shared" si="9"/>
        <v>-4.4295127076116714E-2</v>
      </c>
      <c r="S86" s="182">
        <f t="shared" si="10"/>
        <v>-2.8066262518370855E-2</v>
      </c>
      <c r="T86" s="182">
        <f t="shared" si="11"/>
        <v>-7.1030490517636879E-2</v>
      </c>
    </row>
    <row r="87" spans="1:20">
      <c r="A87" s="19"/>
      <c r="B87" s="19">
        <v>14</v>
      </c>
      <c r="C87" s="231">
        <v>1302.1116</v>
      </c>
      <c r="D87" s="230">
        <v>1.7834000000000001</v>
      </c>
      <c r="E87" s="230">
        <v>1.24E-2</v>
      </c>
      <c r="F87" s="232">
        <v>3.0599999999999999E-2</v>
      </c>
      <c r="H87" s="19"/>
      <c r="I87" s="19">
        <v>14</v>
      </c>
      <c r="J87" s="231">
        <v>744.70079999999996</v>
      </c>
      <c r="K87" s="230">
        <v>0.71960000000000002</v>
      </c>
      <c r="L87" s="230">
        <v>7.0000000000000001E-3</v>
      </c>
      <c r="M87" s="232">
        <v>7.1999999999999998E-3</v>
      </c>
      <c r="O87" s="19"/>
      <c r="P87" s="19">
        <v>14</v>
      </c>
      <c r="Q87" s="182">
        <f t="shared" si="8"/>
        <v>-2.7551343562559283E-2</v>
      </c>
      <c r="R87" s="182">
        <f t="shared" si="9"/>
        <v>-4.436484096650406E-2</v>
      </c>
      <c r="S87" s="182">
        <f t="shared" si="10"/>
        <v>-2.8184508575454625E-2</v>
      </c>
      <c r="T87" s="182">
        <f t="shared" si="11"/>
        <v>-6.9790964881360273E-2</v>
      </c>
    </row>
    <row r="88" spans="1:20">
      <c r="A88" s="19"/>
      <c r="B88" s="19">
        <v>15</v>
      </c>
      <c r="C88" s="231">
        <v>1244.8340000000001</v>
      </c>
      <c r="D88" s="230">
        <v>1.667</v>
      </c>
      <c r="E88" s="230">
        <v>1.18E-2</v>
      </c>
      <c r="F88" s="232">
        <v>2.9000000000000001E-2</v>
      </c>
      <c r="H88" s="19"/>
      <c r="I88" s="19">
        <v>15</v>
      </c>
      <c r="J88" s="231">
        <v>716.38599999999997</v>
      </c>
      <c r="K88" s="230">
        <v>0.67159999999999997</v>
      </c>
      <c r="L88" s="230">
        <v>6.7000000000000002E-3</v>
      </c>
      <c r="M88" s="232">
        <v>7.0000000000000001E-3</v>
      </c>
      <c r="O88" s="19"/>
      <c r="P88" s="19">
        <v>15</v>
      </c>
      <c r="Q88" s="182">
        <f t="shared" si="8"/>
        <v>-2.7248783890824191E-2</v>
      </c>
      <c r="R88" s="182">
        <f t="shared" si="9"/>
        <v>-4.4438256056102743E-2</v>
      </c>
      <c r="S88" s="182">
        <f t="shared" si="10"/>
        <v>-2.7902917363591961E-2</v>
      </c>
      <c r="T88" s="182">
        <f t="shared" si="11"/>
        <v>-6.8602641085922178E-2</v>
      </c>
    </row>
    <row r="89" spans="1:20">
      <c r="A89" s="19"/>
      <c r="B89" s="19">
        <v>16</v>
      </c>
      <c r="C89" s="231">
        <v>1231.6228000000001</v>
      </c>
      <c r="D89" s="230">
        <v>1.6476999999999999</v>
      </c>
      <c r="E89" s="230">
        <v>1.17E-2</v>
      </c>
      <c r="F89" s="232">
        <v>2.69E-2</v>
      </c>
      <c r="H89" s="19"/>
      <c r="I89" s="19">
        <v>16</v>
      </c>
      <c r="J89" s="231">
        <v>707.56700000000001</v>
      </c>
      <c r="K89" s="230">
        <v>0.67120000000000002</v>
      </c>
      <c r="L89" s="230">
        <v>6.7000000000000002E-3</v>
      </c>
      <c r="M89" s="232">
        <v>6.6E-3</v>
      </c>
      <c r="O89" s="19"/>
      <c r="P89" s="19">
        <v>16</v>
      </c>
      <c r="Q89" s="182">
        <f t="shared" si="8"/>
        <v>-2.7332303879528341E-2</v>
      </c>
      <c r="R89" s="182">
        <f t="shared" si="9"/>
        <v>-4.391018824749926E-2</v>
      </c>
      <c r="S89" s="182">
        <f t="shared" si="10"/>
        <v>-2.7489168507762729E-2</v>
      </c>
      <c r="T89" s="182">
        <f t="shared" si="11"/>
        <v>-6.7841889176652015E-2</v>
      </c>
    </row>
    <row r="90" spans="1:20">
      <c r="A90" s="19"/>
      <c r="B90" s="19">
        <v>17</v>
      </c>
      <c r="C90" s="231">
        <v>1218.5517</v>
      </c>
      <c r="D90" s="230">
        <v>1.6286</v>
      </c>
      <c r="E90" s="230">
        <v>1.1599999999999999E-2</v>
      </c>
      <c r="F90" s="232">
        <v>2.5100000000000001E-2</v>
      </c>
      <c r="H90" s="19"/>
      <c r="I90" s="19">
        <v>17</v>
      </c>
      <c r="J90" s="231">
        <v>698.85659999999996</v>
      </c>
      <c r="K90" s="230">
        <v>0.67090000000000005</v>
      </c>
      <c r="L90" s="230">
        <v>6.6E-3</v>
      </c>
      <c r="M90" s="232">
        <v>6.1999999999999998E-3</v>
      </c>
      <c r="O90" s="19"/>
      <c r="P90" s="19">
        <v>17</v>
      </c>
      <c r="Q90" s="182">
        <f t="shared" si="8"/>
        <v>-2.7415809978549199E-2</v>
      </c>
      <c r="R90" s="182">
        <f t="shared" si="9"/>
        <v>-4.3374026988626246E-2</v>
      </c>
      <c r="S90" s="182">
        <f t="shared" si="10"/>
        <v>-2.7802953620014947E-2</v>
      </c>
      <c r="T90" s="182">
        <f t="shared" si="11"/>
        <v>-6.7527788309905579E-2</v>
      </c>
    </row>
    <row r="91" spans="1:20">
      <c r="A91" s="19"/>
      <c r="B91" s="19">
        <v>18</v>
      </c>
      <c r="C91" s="231">
        <v>1205.6194</v>
      </c>
      <c r="D91" s="230">
        <v>1.6096999999999999</v>
      </c>
      <c r="E91" s="230">
        <v>1.15E-2</v>
      </c>
      <c r="F91" s="232">
        <v>2.3300000000000001E-2</v>
      </c>
      <c r="H91" s="19"/>
      <c r="I91" s="19">
        <v>18</v>
      </c>
      <c r="J91" s="231">
        <v>690.25340000000006</v>
      </c>
      <c r="K91" s="230">
        <v>0.67059999999999997</v>
      </c>
      <c r="L91" s="230">
        <v>6.4999999999999997E-3</v>
      </c>
      <c r="M91" s="232">
        <v>5.7999999999999996E-3</v>
      </c>
      <c r="O91" s="19"/>
      <c r="P91" s="19">
        <v>18</v>
      </c>
      <c r="Q91" s="182">
        <f t="shared" si="8"/>
        <v>-2.7499314018441967E-2</v>
      </c>
      <c r="R91" s="182">
        <f t="shared" si="9"/>
        <v>-4.2836938220190746E-2</v>
      </c>
      <c r="S91" s="182">
        <f t="shared" si="10"/>
        <v>-2.8124182952937948E-2</v>
      </c>
      <c r="T91" s="182">
        <f t="shared" si="11"/>
        <v>-6.7167639454732808E-2</v>
      </c>
    </row>
    <row r="92" spans="1:20">
      <c r="A92" s="19"/>
      <c r="B92" s="19">
        <v>19</v>
      </c>
      <c r="C92" s="231">
        <v>1192.8244</v>
      </c>
      <c r="D92" s="230">
        <v>1.591</v>
      </c>
      <c r="E92" s="230">
        <v>1.1299999999999999E-2</v>
      </c>
      <c r="F92" s="232">
        <v>2.1700000000000001E-2</v>
      </c>
      <c r="H92" s="19"/>
      <c r="I92" s="19">
        <v>19</v>
      </c>
      <c r="J92" s="231">
        <v>681.75620000000004</v>
      </c>
      <c r="K92" s="230">
        <v>0.67030000000000001</v>
      </c>
      <c r="L92" s="230">
        <v>6.4000000000000003E-3</v>
      </c>
      <c r="M92" s="232">
        <v>5.4999999999999997E-3</v>
      </c>
      <c r="O92" s="19"/>
      <c r="P92" s="19">
        <v>19</v>
      </c>
      <c r="Q92" s="182">
        <f t="shared" si="8"/>
        <v>-2.7582806482865707E-2</v>
      </c>
      <c r="R92" s="182">
        <f t="shared" si="9"/>
        <v>-4.2298975542140682E-2</v>
      </c>
      <c r="S92" s="182">
        <f t="shared" si="10"/>
        <v>-2.802504058049704E-2</v>
      </c>
      <c r="T92" s="182">
        <f t="shared" si="11"/>
        <v>-6.6326252402068131E-2</v>
      </c>
    </row>
    <row r="93" spans="1:20">
      <c r="A93" s="19"/>
      <c r="B93" s="19">
        <v>20</v>
      </c>
      <c r="C93" s="231">
        <v>1180.1650999999999</v>
      </c>
      <c r="D93" s="230">
        <v>1.5726</v>
      </c>
      <c r="E93" s="230">
        <v>1.12E-2</v>
      </c>
      <c r="F93" s="232">
        <v>2.01E-2</v>
      </c>
      <c r="H93" s="19"/>
      <c r="I93" s="19">
        <v>20</v>
      </c>
      <c r="J93" s="231">
        <v>673.36350000000004</v>
      </c>
      <c r="K93" s="230">
        <v>0.66990000000000005</v>
      </c>
      <c r="L93" s="230">
        <v>6.3E-3</v>
      </c>
      <c r="M93" s="232">
        <v>5.1999999999999998E-3</v>
      </c>
      <c r="O93" s="19"/>
      <c r="P93" s="19">
        <v>20</v>
      </c>
      <c r="Q93" s="182">
        <f t="shared" si="8"/>
        <v>-2.7666295457559942E-2</v>
      </c>
      <c r="R93" s="182">
        <f t="shared" si="9"/>
        <v>-4.1770393145165396E-2</v>
      </c>
      <c r="S93" s="182">
        <f t="shared" si="10"/>
        <v>-2.8358342136926451E-2</v>
      </c>
      <c r="T93" s="182">
        <f t="shared" si="11"/>
        <v>-6.5368606967262211E-2</v>
      </c>
    </row>
    <row r="94" spans="1:20">
      <c r="A94" s="19"/>
      <c r="B94" s="19">
        <v>21</v>
      </c>
      <c r="C94" s="231">
        <v>1138.1322</v>
      </c>
      <c r="D94" s="230">
        <v>1.5314000000000001</v>
      </c>
      <c r="E94" s="230">
        <v>1.0800000000000001E-2</v>
      </c>
      <c r="F94" s="232">
        <v>1.9900000000000001E-2</v>
      </c>
      <c r="H94" s="19"/>
      <c r="I94" s="19">
        <v>21</v>
      </c>
      <c r="J94" s="231">
        <v>654.89210000000003</v>
      </c>
      <c r="K94" s="230">
        <v>0.63229999999999997</v>
      </c>
      <c r="L94" s="230">
        <v>6.1999999999999998E-3</v>
      </c>
      <c r="M94" s="232">
        <v>5.1000000000000004E-3</v>
      </c>
      <c r="O94" s="19"/>
      <c r="P94" s="19">
        <v>21</v>
      </c>
      <c r="Q94" s="182">
        <f t="shared" si="8"/>
        <v>-2.7255347438444377E-2</v>
      </c>
      <c r="R94" s="182">
        <f t="shared" si="9"/>
        <v>-4.3264856781230043E-2</v>
      </c>
      <c r="S94" s="182">
        <f t="shared" si="10"/>
        <v>-2.7368352142706942E-2</v>
      </c>
      <c r="T94" s="182">
        <f t="shared" si="11"/>
        <v>-6.5808621398565914E-2</v>
      </c>
    </row>
    <row r="95" spans="1:20">
      <c r="A95" s="19"/>
      <c r="B95" s="19">
        <v>22</v>
      </c>
      <c r="C95" s="231">
        <v>1097.5963999999999</v>
      </c>
      <c r="D95" s="230">
        <v>1.4913000000000001</v>
      </c>
      <c r="E95" s="230">
        <v>1.04E-2</v>
      </c>
      <c r="F95" s="232">
        <v>1.9699999999999999E-2</v>
      </c>
      <c r="H95" s="19"/>
      <c r="I95" s="19">
        <v>22</v>
      </c>
      <c r="J95" s="231">
        <v>636.92740000000003</v>
      </c>
      <c r="K95" s="230">
        <v>0.5968</v>
      </c>
      <c r="L95" s="230">
        <v>6.0000000000000001E-3</v>
      </c>
      <c r="M95" s="232">
        <v>5.1000000000000004E-3</v>
      </c>
      <c r="O95" s="19"/>
      <c r="P95" s="19">
        <v>22</v>
      </c>
      <c r="Q95" s="182">
        <f t="shared" si="8"/>
        <v>-2.6844227932324216E-2</v>
      </c>
      <c r="R95" s="182">
        <f t="shared" si="9"/>
        <v>-4.4758482571668701E-2</v>
      </c>
      <c r="S95" s="182">
        <f t="shared" si="10"/>
        <v>-2.7127571444716336E-2</v>
      </c>
      <c r="T95" s="182">
        <f t="shared" si="11"/>
        <v>-6.5336684392321875E-2</v>
      </c>
    </row>
    <row r="96" spans="1:20">
      <c r="A96" s="19"/>
      <c r="B96" s="19">
        <v>23</v>
      </c>
      <c r="C96" s="231">
        <v>1058.5043000000001</v>
      </c>
      <c r="D96" s="230">
        <v>1.4521999999999999</v>
      </c>
      <c r="E96" s="230">
        <v>1.01E-2</v>
      </c>
      <c r="F96" s="232">
        <v>1.95E-2</v>
      </c>
      <c r="H96" s="19"/>
      <c r="I96" s="19">
        <v>23</v>
      </c>
      <c r="J96" s="231">
        <v>619.45550000000003</v>
      </c>
      <c r="K96" s="230">
        <v>0.56320000000000003</v>
      </c>
      <c r="L96" s="230">
        <v>5.7999999999999996E-3</v>
      </c>
      <c r="M96" s="232">
        <v>5.0000000000000001E-3</v>
      </c>
      <c r="O96" s="19"/>
      <c r="P96" s="19">
        <v>23</v>
      </c>
      <c r="Q96" s="182">
        <f t="shared" si="8"/>
        <v>-2.643293342849018E-2</v>
      </c>
      <c r="R96" s="182">
        <f t="shared" si="9"/>
        <v>-4.6256017878033684E-2</v>
      </c>
      <c r="S96" s="182">
        <f t="shared" si="10"/>
        <v>-2.7352822214221195E-2</v>
      </c>
      <c r="T96" s="182">
        <f t="shared" si="11"/>
        <v>-6.5785143058847639E-2</v>
      </c>
    </row>
    <row r="97" spans="1:20" s="245" customFormat="1">
      <c r="A97" s="396"/>
      <c r="B97" s="396">
        <v>24</v>
      </c>
      <c r="C97" s="397">
        <v>1020.8046000000001</v>
      </c>
      <c r="D97" s="398">
        <v>1.4140999999999999</v>
      </c>
      <c r="E97" s="398">
        <v>9.7000000000000003E-3</v>
      </c>
      <c r="F97" s="399">
        <v>1.9199999999999998E-2</v>
      </c>
      <c r="H97" s="396"/>
      <c r="I97" s="396">
        <v>24</v>
      </c>
      <c r="J97" s="397">
        <v>602.46289999999999</v>
      </c>
      <c r="K97" s="398">
        <v>0.53159999999999996</v>
      </c>
      <c r="L97" s="398">
        <v>5.7000000000000002E-3</v>
      </c>
      <c r="M97" s="399">
        <v>5.0000000000000001E-3</v>
      </c>
      <c r="O97" s="396"/>
      <c r="P97" s="396">
        <v>24</v>
      </c>
      <c r="Q97" s="245">
        <f t="shared" si="8"/>
        <v>-2.6021467958076694E-2</v>
      </c>
      <c r="R97" s="245">
        <f t="shared" si="9"/>
        <v>-4.7740656763132217E-2</v>
      </c>
      <c r="S97" s="245">
        <f t="shared" si="10"/>
        <v>-2.6232768110716176E-2</v>
      </c>
      <c r="T97" s="245">
        <f t="shared" si="11"/>
        <v>-6.5060650207987791E-2</v>
      </c>
    </row>
    <row r="98" spans="1:20" s="245" customFormat="1">
      <c r="A98" s="396"/>
      <c r="B98" s="396">
        <v>25</v>
      </c>
      <c r="C98" s="397">
        <v>984.44749999999999</v>
      </c>
      <c r="D98" s="398">
        <v>1.3771</v>
      </c>
      <c r="E98" s="398">
        <v>9.2999999999999992E-3</v>
      </c>
      <c r="F98" s="399">
        <v>1.9E-2</v>
      </c>
      <c r="H98" s="396"/>
      <c r="I98" s="396">
        <v>25</v>
      </c>
      <c r="J98" s="397">
        <v>585.93640000000005</v>
      </c>
      <c r="K98" s="398">
        <v>0.50170000000000003</v>
      </c>
      <c r="L98" s="398">
        <v>5.4999999999999997E-3</v>
      </c>
      <c r="M98" s="399">
        <v>4.8999999999999998E-3</v>
      </c>
      <c r="O98" s="396"/>
      <c r="P98" s="396">
        <v>25</v>
      </c>
      <c r="Q98" s="245">
        <f t="shared" si="8"/>
        <v>-2.5609825717319734E-2</v>
      </c>
      <c r="R98" s="245">
        <f t="shared" si="9"/>
        <v>-4.9233368516344966E-2</v>
      </c>
      <c r="S98" s="245">
        <f t="shared" si="10"/>
        <v>-2.5921434046449865E-2</v>
      </c>
      <c r="T98" s="245">
        <f t="shared" si="11"/>
        <v>-6.5515453339853869E-2</v>
      </c>
    </row>
    <row r="99" spans="1:20" s="245" customFormat="1">
      <c r="A99" s="396"/>
      <c r="B99" s="396">
        <v>26</v>
      </c>
      <c r="C99" s="397">
        <v>974.59040000000005</v>
      </c>
      <c r="D99" s="398">
        <v>1.3491</v>
      </c>
      <c r="E99" s="398">
        <v>9.1999999999999998E-3</v>
      </c>
      <c r="F99" s="399">
        <v>1.7999999999999999E-2</v>
      </c>
      <c r="H99" s="396"/>
      <c r="I99" s="396">
        <v>26</v>
      </c>
      <c r="J99" s="397">
        <v>579.66480000000001</v>
      </c>
      <c r="K99" s="398">
        <v>0.48359999999999997</v>
      </c>
      <c r="L99" s="398">
        <v>5.4000000000000003E-3</v>
      </c>
      <c r="M99" s="399">
        <v>4.7000000000000002E-3</v>
      </c>
      <c r="O99" s="396"/>
      <c r="P99" s="396">
        <v>26</v>
      </c>
      <c r="Q99" s="245">
        <f t="shared" si="8"/>
        <v>-2.5643829192284251E-2</v>
      </c>
      <c r="R99" s="245">
        <f t="shared" si="9"/>
        <v>-5.0003276352123649E-2</v>
      </c>
      <c r="S99" s="245">
        <f t="shared" si="10"/>
        <v>-2.6288505916615912E-2</v>
      </c>
      <c r="T99" s="245">
        <f t="shared" si="11"/>
        <v>-6.4936149255725772E-2</v>
      </c>
    </row>
    <row r="100" spans="1:20" s="245" customFormat="1">
      <c r="A100" s="396"/>
      <c r="B100" s="396">
        <v>27</v>
      </c>
      <c r="C100" s="397">
        <v>964.83190000000002</v>
      </c>
      <c r="D100" s="398">
        <v>1.3216000000000001</v>
      </c>
      <c r="E100" s="398">
        <v>9.1000000000000004E-3</v>
      </c>
      <c r="F100" s="399">
        <v>1.7000000000000001E-2</v>
      </c>
      <c r="H100" s="396"/>
      <c r="I100" s="396">
        <v>27</v>
      </c>
      <c r="J100" s="397">
        <v>573.46029999999996</v>
      </c>
      <c r="K100" s="398">
        <v>0.4662</v>
      </c>
      <c r="L100" s="398">
        <v>5.4000000000000003E-3</v>
      </c>
      <c r="M100" s="399">
        <v>4.4999999999999997E-3</v>
      </c>
      <c r="O100" s="396"/>
      <c r="P100" s="396">
        <v>27</v>
      </c>
      <c r="Q100" s="245">
        <f t="shared" si="8"/>
        <v>-2.5677828973793781E-2</v>
      </c>
      <c r="R100" s="245">
        <f t="shared" si="9"/>
        <v>-5.0765286540085497E-2</v>
      </c>
      <c r="S100" s="245">
        <f t="shared" si="10"/>
        <v>-2.5756272429585114E-2</v>
      </c>
      <c r="T100" s="245">
        <f t="shared" si="11"/>
        <v>-6.4296660166089148E-2</v>
      </c>
    </row>
    <row r="101" spans="1:20" s="245" customFormat="1">
      <c r="A101" s="396"/>
      <c r="B101" s="396">
        <v>28</v>
      </c>
      <c r="C101" s="397">
        <v>955.1712</v>
      </c>
      <c r="D101" s="398">
        <v>1.2948</v>
      </c>
      <c r="E101" s="398">
        <v>8.9999999999999993E-3</v>
      </c>
      <c r="F101" s="399">
        <v>1.61E-2</v>
      </c>
      <c r="H101" s="396"/>
      <c r="I101" s="396">
        <v>28</v>
      </c>
      <c r="J101" s="397">
        <v>567.32219999999995</v>
      </c>
      <c r="K101" s="398">
        <v>0.44929999999999998</v>
      </c>
      <c r="L101" s="398">
        <v>5.3E-3</v>
      </c>
      <c r="M101" s="399">
        <v>4.3E-3</v>
      </c>
      <c r="O101" s="396"/>
      <c r="P101" s="396">
        <v>28</v>
      </c>
      <c r="Q101" s="245">
        <f t="shared" si="8"/>
        <v>-2.5711833001975215E-2</v>
      </c>
      <c r="R101" s="245">
        <f t="shared" si="9"/>
        <v>-5.154509601653734E-2</v>
      </c>
      <c r="S101" s="245">
        <f t="shared" si="10"/>
        <v>-2.6128474300453952E-2</v>
      </c>
      <c r="T101" s="245">
        <f t="shared" si="11"/>
        <v>-6.3878695862825796E-2</v>
      </c>
    </row>
    <row r="102" spans="1:20" s="245" customFormat="1">
      <c r="A102" s="396"/>
      <c r="B102" s="396">
        <v>29</v>
      </c>
      <c r="C102" s="397">
        <v>945.60720000000003</v>
      </c>
      <c r="D102" s="398">
        <v>1.2684</v>
      </c>
      <c r="E102" s="398">
        <v>8.8999999999999999E-3</v>
      </c>
      <c r="F102" s="399">
        <v>1.52E-2</v>
      </c>
      <c r="H102" s="396"/>
      <c r="I102" s="396">
        <v>29</v>
      </c>
      <c r="J102" s="397">
        <v>561.24980000000005</v>
      </c>
      <c r="K102" s="398">
        <v>0.43309999999999998</v>
      </c>
      <c r="L102" s="398">
        <v>5.3E-3</v>
      </c>
      <c r="M102" s="399">
        <v>4.1000000000000003E-3</v>
      </c>
      <c r="O102" s="396"/>
      <c r="P102" s="396">
        <v>29</v>
      </c>
      <c r="Q102" s="245">
        <f t="shared" si="8"/>
        <v>-2.5745834237446363E-2</v>
      </c>
      <c r="R102" s="245">
        <f t="shared" si="9"/>
        <v>-5.2309346376197774E-2</v>
      </c>
      <c r="S102" s="245">
        <f t="shared" si="10"/>
        <v>-2.5584254331246004E-2</v>
      </c>
      <c r="T102" s="245">
        <f t="shared" si="11"/>
        <v>-6.3415398021749891E-2</v>
      </c>
    </row>
    <row r="103" spans="1:20" s="245" customFormat="1">
      <c r="A103" s="396"/>
      <c r="B103" s="396">
        <v>30</v>
      </c>
      <c r="C103" s="397">
        <v>936.13890000000004</v>
      </c>
      <c r="D103" s="398">
        <v>1.2425999999999999</v>
      </c>
      <c r="E103" s="398">
        <v>8.8000000000000005E-3</v>
      </c>
      <c r="F103" s="399">
        <v>1.44E-2</v>
      </c>
      <c r="H103" s="396"/>
      <c r="I103" s="396">
        <v>30</v>
      </c>
      <c r="J103" s="397">
        <v>555.24239999999998</v>
      </c>
      <c r="K103" s="398">
        <v>0.41749999999999998</v>
      </c>
      <c r="L103" s="398">
        <v>5.1999999999999998E-3</v>
      </c>
      <c r="M103" s="399">
        <v>3.8999999999999998E-3</v>
      </c>
      <c r="O103" s="396"/>
      <c r="P103" s="396">
        <v>30</v>
      </c>
      <c r="Q103" s="245">
        <f t="shared" si="8"/>
        <v>-2.577983071220058E-2</v>
      </c>
      <c r="R103" s="245">
        <f t="shared" si="9"/>
        <v>-5.3073530625897036E-2</v>
      </c>
      <c r="S103" s="245">
        <f t="shared" si="10"/>
        <v>-2.596170103643769E-2</v>
      </c>
      <c r="T103" s="245">
        <f t="shared" si="11"/>
        <v>-6.322540189975101E-2</v>
      </c>
    </row>
    <row r="104" spans="1:20" s="245" customFormat="1">
      <c r="A104" s="396"/>
      <c r="B104" s="396">
        <v>31</v>
      </c>
      <c r="C104" s="397">
        <v>941.27160000000003</v>
      </c>
      <c r="D104" s="398">
        <v>1.2298</v>
      </c>
      <c r="E104" s="398">
        <v>8.8999999999999999E-3</v>
      </c>
      <c r="F104" s="399">
        <v>1.37E-2</v>
      </c>
      <c r="H104" s="396"/>
      <c r="I104" s="396">
        <v>31</v>
      </c>
      <c r="J104" s="397">
        <v>559.83029999999997</v>
      </c>
      <c r="K104" s="398">
        <v>0.41310000000000002</v>
      </c>
      <c r="L104" s="398">
        <v>5.1999999999999998E-3</v>
      </c>
      <c r="M104" s="399">
        <v>3.8E-3</v>
      </c>
      <c r="O104" s="396"/>
      <c r="P104" s="396">
        <v>31</v>
      </c>
      <c r="Q104" s="245">
        <f t="shared" si="8"/>
        <v>-2.56453272754954E-2</v>
      </c>
      <c r="R104" s="245">
        <f t="shared" si="9"/>
        <v>-5.3084914781045378E-2</v>
      </c>
      <c r="S104" s="245">
        <f t="shared" si="10"/>
        <v>-2.6511855588189026E-2</v>
      </c>
      <c r="T104" s="245">
        <f t="shared" si="11"/>
        <v>-6.2107308874134182E-2</v>
      </c>
    </row>
    <row r="105" spans="1:20" s="245" customFormat="1">
      <c r="A105" s="396"/>
      <c r="B105" s="396">
        <v>32</v>
      </c>
      <c r="C105" s="397">
        <v>946.43230000000005</v>
      </c>
      <c r="D105" s="398">
        <v>1.2171000000000001</v>
      </c>
      <c r="E105" s="398">
        <v>8.8999999999999999E-3</v>
      </c>
      <c r="F105" s="399">
        <v>1.3100000000000001E-2</v>
      </c>
      <c r="H105" s="396"/>
      <c r="I105" s="396">
        <v>32</v>
      </c>
      <c r="J105" s="397">
        <v>564.45609999999999</v>
      </c>
      <c r="K105" s="398">
        <v>0.4088</v>
      </c>
      <c r="L105" s="398">
        <v>5.3E-3</v>
      </c>
      <c r="M105" s="399">
        <v>3.8E-3</v>
      </c>
      <c r="O105" s="396"/>
      <c r="P105" s="396">
        <v>32</v>
      </c>
      <c r="Q105" s="245">
        <f t="shared" si="8"/>
        <v>-2.551079876905471E-2</v>
      </c>
      <c r="R105" s="245">
        <f t="shared" si="9"/>
        <v>-5.3088848299536862E-2</v>
      </c>
      <c r="S105" s="245">
        <f t="shared" si="10"/>
        <v>-2.5584254331246004E-2</v>
      </c>
      <c r="T105" s="245">
        <f t="shared" si="11"/>
        <v>-6.0004845175824606E-2</v>
      </c>
    </row>
    <row r="106" spans="1:20" s="245" customFormat="1">
      <c r="A106" s="396"/>
      <c r="B106" s="396">
        <v>33</v>
      </c>
      <c r="C106" s="397">
        <v>951.62139999999999</v>
      </c>
      <c r="D106" s="398">
        <v>1.2045999999999999</v>
      </c>
      <c r="E106" s="398">
        <v>8.8999999999999999E-3</v>
      </c>
      <c r="F106" s="399">
        <v>1.26E-2</v>
      </c>
      <c r="H106" s="396"/>
      <c r="I106" s="396">
        <v>33</v>
      </c>
      <c r="J106" s="397">
        <v>569.12009999999998</v>
      </c>
      <c r="K106" s="398">
        <v>0.40450000000000003</v>
      </c>
      <c r="L106" s="398">
        <v>5.3E-3</v>
      </c>
      <c r="M106" s="399">
        <v>3.7000000000000002E-3</v>
      </c>
      <c r="O106" s="396"/>
      <c r="P106" s="396">
        <v>33</v>
      </c>
      <c r="Q106" s="245">
        <f t="shared" si="8"/>
        <v>-2.5376259003144663E-2</v>
      </c>
      <c r="R106" s="245">
        <f t="shared" si="9"/>
        <v>-5.3100726473588988E-2</v>
      </c>
      <c r="S106" s="245">
        <f t="shared" si="10"/>
        <v>-2.5584254331246004E-2</v>
      </c>
      <c r="T106" s="245">
        <f t="shared" si="11"/>
        <v>-5.9429054914910351E-2</v>
      </c>
    </row>
    <row r="107" spans="1:20" s="245" customFormat="1">
      <c r="A107" s="396"/>
      <c r="B107" s="396">
        <v>34</v>
      </c>
      <c r="C107" s="397">
        <v>956.83889999999997</v>
      </c>
      <c r="D107" s="398">
        <v>1.1920999999999999</v>
      </c>
      <c r="E107" s="398">
        <v>8.9999999999999993E-3</v>
      </c>
      <c r="F107" s="399">
        <v>1.2E-2</v>
      </c>
      <c r="H107" s="396"/>
      <c r="I107" s="396">
        <v>34</v>
      </c>
      <c r="J107" s="397">
        <v>573.82259999999997</v>
      </c>
      <c r="K107" s="398">
        <v>0.40029999999999999</v>
      </c>
      <c r="L107" s="398">
        <v>5.3E-3</v>
      </c>
      <c r="M107" s="399">
        <v>3.5999999999999999E-3</v>
      </c>
      <c r="O107" s="396"/>
      <c r="P107" s="396">
        <v>34</v>
      </c>
      <c r="Q107" s="245">
        <f t="shared" si="8"/>
        <v>-2.5241701285231177E-2</v>
      </c>
      <c r="R107" s="245">
        <f t="shared" si="9"/>
        <v>-5.3101027900666287E-2</v>
      </c>
      <c r="S107" s="245">
        <f t="shared" si="10"/>
        <v>-2.6128474300453952E-2</v>
      </c>
      <c r="T107" s="245">
        <f t="shared" si="11"/>
        <v>-5.8422520147591195E-2</v>
      </c>
    </row>
    <row r="108" spans="1:20" s="245" customFormat="1">
      <c r="A108" s="396"/>
      <c r="B108" s="396">
        <v>35</v>
      </c>
      <c r="C108" s="397">
        <v>962.08500000000004</v>
      </c>
      <c r="D108" s="398">
        <v>1.1798</v>
      </c>
      <c r="E108" s="398">
        <v>8.9999999999999993E-3</v>
      </c>
      <c r="F108" s="399">
        <v>1.15E-2</v>
      </c>
      <c r="H108" s="396"/>
      <c r="I108" s="396">
        <v>35</v>
      </c>
      <c r="J108" s="397">
        <v>578.56399999999996</v>
      </c>
      <c r="K108" s="398">
        <v>0.39610000000000001</v>
      </c>
      <c r="L108" s="398">
        <v>5.4000000000000003E-3</v>
      </c>
      <c r="M108" s="399">
        <v>3.5000000000000001E-3</v>
      </c>
      <c r="O108" s="396"/>
      <c r="P108" s="396">
        <v>35</v>
      </c>
      <c r="Q108" s="245">
        <f t="shared" si="8"/>
        <v>-2.5107120933911986E-2</v>
      </c>
      <c r="R108" s="245">
        <f t="shared" si="9"/>
        <v>-5.3109362289571194E-2</v>
      </c>
      <c r="S108" s="245">
        <f t="shared" si="10"/>
        <v>-2.5217862029839777E-2</v>
      </c>
      <c r="T108" s="245">
        <f t="shared" si="11"/>
        <v>-5.7744870856456187E-2</v>
      </c>
    </row>
    <row r="109" spans="1:20" s="245" customFormat="1">
      <c r="A109" s="396"/>
      <c r="B109" s="396">
        <v>36</v>
      </c>
      <c r="C109" s="397">
        <v>967.41949999999997</v>
      </c>
      <c r="D109" s="398">
        <v>1.1662999999999999</v>
      </c>
      <c r="E109" s="398">
        <v>9.1000000000000004E-3</v>
      </c>
      <c r="F109" s="399">
        <v>1.1299999999999999E-2</v>
      </c>
      <c r="H109" s="396"/>
      <c r="I109" s="396">
        <v>36</v>
      </c>
      <c r="J109" s="397">
        <v>584.06709999999998</v>
      </c>
      <c r="K109" s="398">
        <v>0.38829999999999998</v>
      </c>
      <c r="L109" s="398">
        <v>5.4000000000000003E-3</v>
      </c>
      <c r="M109" s="399">
        <v>3.5999999999999999E-3</v>
      </c>
      <c r="O109" s="396"/>
      <c r="P109" s="396">
        <v>36</v>
      </c>
      <c r="Q109" s="245">
        <f t="shared" ref="Q109:Q143" si="12">((J109/C109)^(1/(2044-2024))-1)</f>
        <v>-2.4915180287309213E-2</v>
      </c>
      <c r="R109" s="245">
        <f t="shared" ref="R109:R143" si="13">((K109/D109)^(1/(2044-2024))-1)</f>
        <v>-5.3506020681747035E-2</v>
      </c>
      <c r="S109" s="245">
        <f t="shared" ref="S109:S143" si="14">((L109/E109)^(1/(2044-2024))-1)</f>
        <v>-2.5756272429585114E-2</v>
      </c>
      <c r="T109" s="245">
        <f t="shared" ref="T109:T143" si="15">((M109/F109)^(1/(2044-2024))-1)</f>
        <v>-5.5588639028240627E-2</v>
      </c>
    </row>
    <row r="110" spans="1:20" s="245" customFormat="1">
      <c r="A110" s="396"/>
      <c r="B110" s="396">
        <v>37</v>
      </c>
      <c r="C110" s="397">
        <v>972.78359999999998</v>
      </c>
      <c r="D110" s="398">
        <v>1.1529</v>
      </c>
      <c r="E110" s="398">
        <v>9.1000000000000004E-3</v>
      </c>
      <c r="F110" s="399">
        <v>1.0999999999999999E-2</v>
      </c>
      <c r="H110" s="396"/>
      <c r="I110" s="396">
        <v>37</v>
      </c>
      <c r="J110" s="397">
        <v>589.62249999999995</v>
      </c>
      <c r="K110" s="398">
        <v>0.38059999999999999</v>
      </c>
      <c r="L110" s="398">
        <v>5.4999999999999997E-3</v>
      </c>
      <c r="M110" s="399">
        <v>3.7000000000000002E-3</v>
      </c>
      <c r="O110" s="396"/>
      <c r="P110" s="396">
        <v>37</v>
      </c>
      <c r="Q110" s="245">
        <f t="shared" si="12"/>
        <v>-2.4723206539810638E-2</v>
      </c>
      <c r="R110" s="245">
        <f t="shared" si="13"/>
        <v>-5.3906938953044325E-2</v>
      </c>
      <c r="S110" s="245">
        <f t="shared" si="14"/>
        <v>-2.4862035617738365E-2</v>
      </c>
      <c r="T110" s="245">
        <f t="shared" si="15"/>
        <v>-5.3020773979840397E-2</v>
      </c>
    </row>
    <row r="111" spans="1:20" s="245" customFormat="1">
      <c r="A111" s="396"/>
      <c r="B111" s="396">
        <v>38</v>
      </c>
      <c r="C111" s="397">
        <v>978.17750000000001</v>
      </c>
      <c r="D111" s="398">
        <v>1.1395999999999999</v>
      </c>
      <c r="E111" s="398">
        <v>9.1000000000000004E-3</v>
      </c>
      <c r="F111" s="399">
        <v>1.0800000000000001E-2</v>
      </c>
      <c r="H111" s="396"/>
      <c r="I111" s="396">
        <v>38</v>
      </c>
      <c r="J111" s="397">
        <v>595.23080000000004</v>
      </c>
      <c r="K111" s="398">
        <v>0.37309999999999999</v>
      </c>
      <c r="L111" s="398">
        <v>5.4999999999999997E-3</v>
      </c>
      <c r="M111" s="399">
        <v>3.8E-3</v>
      </c>
      <c r="O111" s="396"/>
      <c r="P111" s="396">
        <v>38</v>
      </c>
      <c r="Q111" s="245">
        <f t="shared" si="12"/>
        <v>-2.4531192993471618E-2</v>
      </c>
      <c r="R111" s="245">
        <f t="shared" si="13"/>
        <v>-5.4299452590060637E-2</v>
      </c>
      <c r="S111" s="245">
        <f t="shared" si="14"/>
        <v>-2.4862035617738365E-2</v>
      </c>
      <c r="T111" s="245">
        <f t="shared" si="15"/>
        <v>-5.0886846829478083E-2</v>
      </c>
    </row>
    <row r="112" spans="1:20" s="245" customFormat="1">
      <c r="A112" s="396"/>
      <c r="B112" s="396">
        <v>39</v>
      </c>
      <c r="C112" s="397">
        <v>983.60130000000004</v>
      </c>
      <c r="D112" s="398">
        <v>1.1266</v>
      </c>
      <c r="E112" s="398">
        <v>9.1999999999999998E-3</v>
      </c>
      <c r="F112" s="399">
        <v>1.06E-2</v>
      </c>
      <c r="H112" s="396"/>
      <c r="I112" s="396">
        <v>39</v>
      </c>
      <c r="J112" s="397">
        <v>600.89239999999995</v>
      </c>
      <c r="K112" s="398">
        <v>0.36580000000000001</v>
      </c>
      <c r="L112" s="398">
        <v>5.5999999999999999E-3</v>
      </c>
      <c r="M112" s="399">
        <v>3.8E-3</v>
      </c>
      <c r="O112" s="396"/>
      <c r="P112" s="396">
        <v>39</v>
      </c>
      <c r="Q112" s="245">
        <f t="shared" si="12"/>
        <v>-2.4339144839628069E-2</v>
      </c>
      <c r="R112" s="245">
        <f t="shared" si="13"/>
        <v>-5.4691206754297172E-2</v>
      </c>
      <c r="S112" s="245">
        <f t="shared" si="14"/>
        <v>-2.4516315488061768E-2</v>
      </c>
      <c r="T112" s="245">
        <f t="shared" si="15"/>
        <v>-4.9999384714947581E-2</v>
      </c>
    </row>
    <row r="113" spans="1:20" s="245" customFormat="1">
      <c r="A113" s="396"/>
      <c r="B113" s="396">
        <v>40</v>
      </c>
      <c r="C113" s="397">
        <v>989.05510000000004</v>
      </c>
      <c r="D113" s="398">
        <v>1.1135999999999999</v>
      </c>
      <c r="E113" s="398">
        <v>9.1999999999999998E-3</v>
      </c>
      <c r="F113" s="399">
        <v>1.04E-2</v>
      </c>
      <c r="H113" s="396"/>
      <c r="I113" s="396">
        <v>40</v>
      </c>
      <c r="J113" s="397">
        <v>606.60789999999997</v>
      </c>
      <c r="K113" s="398">
        <v>0.35859999999999997</v>
      </c>
      <c r="L113" s="398">
        <v>5.5999999999999999E-3</v>
      </c>
      <c r="M113" s="399">
        <v>3.8999999999999998E-3</v>
      </c>
      <c r="O113" s="396"/>
      <c r="P113" s="396">
        <v>40</v>
      </c>
      <c r="Q113" s="245">
        <f t="shared" si="12"/>
        <v>-2.4147051281051324E-2</v>
      </c>
      <c r="R113" s="245">
        <f t="shared" si="13"/>
        <v>-5.5082149939897018E-2</v>
      </c>
      <c r="S113" s="245">
        <f t="shared" si="14"/>
        <v>-2.4516315488061768E-2</v>
      </c>
      <c r="T113" s="245">
        <f t="shared" si="15"/>
        <v>-4.7858349436510239E-2</v>
      </c>
    </row>
    <row r="114" spans="1:20" s="245" customFormat="1">
      <c r="A114" s="396"/>
      <c r="B114" s="396">
        <v>41</v>
      </c>
      <c r="C114" s="397">
        <v>984.5077</v>
      </c>
      <c r="D114" s="398">
        <v>1.0993999999999999</v>
      </c>
      <c r="E114" s="398">
        <v>9.1999999999999998E-3</v>
      </c>
      <c r="F114" s="399">
        <v>1.0500000000000001E-2</v>
      </c>
      <c r="H114" s="396"/>
      <c r="I114" s="396">
        <v>41</v>
      </c>
      <c r="J114" s="397">
        <v>611.86289999999997</v>
      </c>
      <c r="K114" s="398">
        <v>0.35299999999999998</v>
      </c>
      <c r="L114" s="398">
        <v>5.7000000000000002E-3</v>
      </c>
      <c r="M114" s="399">
        <v>4.1999999999999997E-3</v>
      </c>
      <c r="O114" s="396"/>
      <c r="P114" s="396">
        <v>41</v>
      </c>
      <c r="Q114" s="245">
        <f t="shared" si="12"/>
        <v>-2.3501118490331652E-2</v>
      </c>
      <c r="R114" s="245">
        <f t="shared" si="13"/>
        <v>-5.5219439840105133E-2</v>
      </c>
      <c r="S114" s="245">
        <f t="shared" si="14"/>
        <v>-2.3652650947840081E-2</v>
      </c>
      <c r="T114" s="245">
        <f t="shared" si="15"/>
        <v>-4.4780896047675989E-2</v>
      </c>
    </row>
    <row r="115" spans="1:20" s="245" customFormat="1">
      <c r="A115" s="396"/>
      <c r="B115" s="396">
        <v>42</v>
      </c>
      <c r="C115" s="397">
        <v>979.98119999999994</v>
      </c>
      <c r="D115" s="398">
        <v>1.0853999999999999</v>
      </c>
      <c r="E115" s="398">
        <v>9.1000000000000004E-3</v>
      </c>
      <c r="F115" s="399">
        <v>1.06E-2</v>
      </c>
      <c r="H115" s="396"/>
      <c r="I115" s="396">
        <v>42</v>
      </c>
      <c r="J115" s="397">
        <v>617.16330000000005</v>
      </c>
      <c r="K115" s="398">
        <v>0.34739999999999999</v>
      </c>
      <c r="L115" s="398">
        <v>5.7000000000000002E-3</v>
      </c>
      <c r="M115" s="399">
        <v>4.4000000000000003E-3</v>
      </c>
      <c r="O115" s="396"/>
      <c r="P115" s="396">
        <v>42</v>
      </c>
      <c r="Q115" s="245">
        <f t="shared" si="12"/>
        <v>-2.2854767554612243E-2</v>
      </c>
      <c r="R115" s="245">
        <f t="shared" si="13"/>
        <v>-5.5369421736617741E-2</v>
      </c>
      <c r="S115" s="245">
        <f t="shared" si="14"/>
        <v>-2.3118976694946003E-2</v>
      </c>
      <c r="T115" s="245">
        <f t="shared" si="15"/>
        <v>-4.3010130251228795E-2</v>
      </c>
    </row>
    <row r="116" spans="1:20" s="245" customFormat="1">
      <c r="A116" s="396"/>
      <c r="B116" s="396">
        <v>43</v>
      </c>
      <c r="C116" s="397">
        <v>975.47540000000004</v>
      </c>
      <c r="D116" s="398">
        <v>1.0714999999999999</v>
      </c>
      <c r="E116" s="398">
        <v>9.1000000000000004E-3</v>
      </c>
      <c r="F116" s="399">
        <v>1.06E-2</v>
      </c>
      <c r="H116" s="396"/>
      <c r="I116" s="396">
        <v>43</v>
      </c>
      <c r="J116" s="397">
        <v>622.50959999999998</v>
      </c>
      <c r="K116" s="398">
        <v>0.34200000000000003</v>
      </c>
      <c r="L116" s="398">
        <v>5.7999999999999996E-3</v>
      </c>
      <c r="M116" s="399">
        <v>4.7000000000000002E-3</v>
      </c>
      <c r="O116" s="396"/>
      <c r="P116" s="396">
        <v>43</v>
      </c>
      <c r="Q116" s="245">
        <f t="shared" si="12"/>
        <v>-2.2207984449955753E-2</v>
      </c>
      <c r="R116" s="245">
        <f t="shared" si="13"/>
        <v>-5.5500577894016856E-2</v>
      </c>
      <c r="S116" s="245">
        <f t="shared" si="14"/>
        <v>-2.2269124067172075E-2</v>
      </c>
      <c r="T116" s="245">
        <f t="shared" si="15"/>
        <v>-3.9848865000335354E-2</v>
      </c>
    </row>
    <row r="117" spans="1:20" s="245" customFormat="1">
      <c r="A117" s="396"/>
      <c r="B117" s="396">
        <v>44</v>
      </c>
      <c r="C117" s="397">
        <v>970.99040000000002</v>
      </c>
      <c r="D117" s="398">
        <v>1.0579000000000001</v>
      </c>
      <c r="E117" s="398">
        <v>9.1000000000000004E-3</v>
      </c>
      <c r="F117" s="399">
        <v>1.0699999999999999E-2</v>
      </c>
      <c r="H117" s="396"/>
      <c r="I117" s="396">
        <v>44</v>
      </c>
      <c r="J117" s="397">
        <v>627.90229999999997</v>
      </c>
      <c r="K117" s="398">
        <v>0.33660000000000001</v>
      </c>
      <c r="L117" s="398">
        <v>5.7999999999999996E-3</v>
      </c>
      <c r="M117" s="399">
        <v>5.0000000000000001E-3</v>
      </c>
      <c r="O117" s="396"/>
      <c r="P117" s="396">
        <v>44</v>
      </c>
      <c r="Q117" s="245">
        <f t="shared" si="12"/>
        <v>-2.1560770668038742E-2</v>
      </c>
      <c r="R117" s="245">
        <f t="shared" si="13"/>
        <v>-5.5648934367962921E-2</v>
      </c>
      <c r="S117" s="245">
        <f t="shared" si="14"/>
        <v>-2.2269124067172075E-2</v>
      </c>
      <c r="T117" s="245">
        <f t="shared" si="15"/>
        <v>-3.7325847429323655E-2</v>
      </c>
    </row>
    <row r="118" spans="1:20" s="245" customFormat="1">
      <c r="A118" s="396"/>
      <c r="B118" s="396">
        <v>45</v>
      </c>
      <c r="C118" s="397">
        <v>966.52610000000004</v>
      </c>
      <c r="D118" s="398">
        <v>1.0444</v>
      </c>
      <c r="E118" s="398">
        <v>8.9999999999999993E-3</v>
      </c>
      <c r="F118" s="399">
        <v>1.0800000000000001E-2</v>
      </c>
      <c r="H118" s="396"/>
      <c r="I118" s="396">
        <v>45</v>
      </c>
      <c r="J118" s="397">
        <v>633.34169999999995</v>
      </c>
      <c r="K118" s="398">
        <v>0.33139999999999997</v>
      </c>
      <c r="L118" s="398">
        <v>5.8999999999999999E-3</v>
      </c>
      <c r="M118" s="399">
        <v>5.3E-3</v>
      </c>
      <c r="O118" s="396"/>
      <c r="P118" s="396">
        <v>45</v>
      </c>
      <c r="Q118" s="245">
        <f t="shared" si="12"/>
        <v>-2.0913133734179579E-2</v>
      </c>
      <c r="R118" s="245">
        <f t="shared" si="13"/>
        <v>-5.5777637039581163E-2</v>
      </c>
      <c r="S118" s="245">
        <f t="shared" si="14"/>
        <v>-2.0892279471465103E-2</v>
      </c>
      <c r="T118" s="245">
        <f t="shared" si="15"/>
        <v>-3.4966019855962593E-2</v>
      </c>
    </row>
    <row r="119" spans="1:20" s="245" customFormat="1">
      <c r="A119" s="396"/>
      <c r="B119" s="396">
        <v>46</v>
      </c>
      <c r="C119" s="397">
        <v>930.22239999999999</v>
      </c>
      <c r="D119" s="398">
        <v>1.0417000000000001</v>
      </c>
      <c r="E119" s="398">
        <v>8.6999999999999994E-3</v>
      </c>
      <c r="F119" s="399">
        <v>1.0999999999999999E-2</v>
      </c>
      <c r="H119" s="396"/>
      <c r="I119" s="396">
        <v>46</v>
      </c>
      <c r="J119" s="397">
        <v>609.35320000000002</v>
      </c>
      <c r="K119" s="398">
        <v>0.31030000000000002</v>
      </c>
      <c r="L119" s="398">
        <v>5.7000000000000002E-3</v>
      </c>
      <c r="M119" s="399">
        <v>5.4000000000000003E-3</v>
      </c>
      <c r="O119" s="396"/>
      <c r="P119" s="396">
        <v>46</v>
      </c>
      <c r="Q119" s="245">
        <f t="shared" si="12"/>
        <v>-2.0929161968512466E-2</v>
      </c>
      <c r="R119" s="245">
        <f t="shared" si="13"/>
        <v>-5.875657480479124E-2</v>
      </c>
      <c r="S119" s="245">
        <f t="shared" si="14"/>
        <v>-2.0920899566124418E-2</v>
      </c>
      <c r="T119" s="245">
        <f t="shared" si="15"/>
        <v>-3.4949469654201648E-2</v>
      </c>
    </row>
    <row r="120" spans="1:20" s="245" customFormat="1">
      <c r="A120" s="396"/>
      <c r="B120" s="396">
        <v>47</v>
      </c>
      <c r="C120" s="397">
        <v>895.28229999999996</v>
      </c>
      <c r="D120" s="398">
        <v>1.0390999999999999</v>
      </c>
      <c r="E120" s="398">
        <v>8.3999999999999995E-3</v>
      </c>
      <c r="F120" s="399">
        <v>1.12E-2</v>
      </c>
      <c r="H120" s="396"/>
      <c r="I120" s="396">
        <v>47</v>
      </c>
      <c r="J120" s="397">
        <v>586.27319999999997</v>
      </c>
      <c r="K120" s="398">
        <v>0.29060000000000002</v>
      </c>
      <c r="L120" s="398">
        <v>5.4999999999999997E-3</v>
      </c>
      <c r="M120" s="399">
        <v>5.4999999999999997E-3</v>
      </c>
      <c r="O120" s="396"/>
      <c r="P120" s="396">
        <v>47</v>
      </c>
      <c r="Q120" s="245">
        <f t="shared" si="12"/>
        <v>-2.0945197275132776E-2</v>
      </c>
      <c r="R120" s="245">
        <f t="shared" si="13"/>
        <v>-6.1721179443872232E-2</v>
      </c>
      <c r="S120" s="245">
        <f t="shared" si="14"/>
        <v>-2.0951581602833502E-2</v>
      </c>
      <c r="T120" s="245">
        <f t="shared" si="15"/>
        <v>-3.4933515636742074E-2</v>
      </c>
    </row>
    <row r="121" spans="1:20">
      <c r="A121" s="19"/>
      <c r="B121" s="19">
        <v>48</v>
      </c>
      <c r="C121" s="231">
        <v>861.65459999999996</v>
      </c>
      <c r="D121" s="230">
        <v>1.0364</v>
      </c>
      <c r="E121" s="230">
        <v>8.0999999999999996E-3</v>
      </c>
      <c r="F121" s="232">
        <v>1.15E-2</v>
      </c>
      <c r="H121" s="19"/>
      <c r="I121" s="19">
        <v>48</v>
      </c>
      <c r="J121" s="231">
        <v>564.06740000000002</v>
      </c>
      <c r="K121" s="230">
        <v>0.2722</v>
      </c>
      <c r="L121" s="230">
        <v>5.3E-3</v>
      </c>
      <c r="M121" s="232">
        <v>5.5999999999999999E-3</v>
      </c>
      <c r="O121" s="19"/>
      <c r="P121" s="19">
        <v>48</v>
      </c>
      <c r="Q121" s="182">
        <f t="shared" si="12"/>
        <v>-2.0961231682728565E-2</v>
      </c>
      <c r="R121" s="182">
        <f t="shared" si="13"/>
        <v>-6.4663169388642805E-2</v>
      </c>
      <c r="S121" s="182">
        <f t="shared" si="14"/>
        <v>-2.0984556744893301E-2</v>
      </c>
      <c r="T121" s="182">
        <f t="shared" si="15"/>
        <v>-3.5339469966137127E-2</v>
      </c>
    </row>
    <row r="122" spans="1:20">
      <c r="A122" s="19"/>
      <c r="B122" s="19">
        <v>49</v>
      </c>
      <c r="C122" s="231">
        <v>829.28989999999999</v>
      </c>
      <c r="D122" s="230">
        <v>1.0338000000000001</v>
      </c>
      <c r="E122" s="230">
        <v>7.7999999999999996E-3</v>
      </c>
      <c r="F122" s="232">
        <v>1.17E-2</v>
      </c>
      <c r="H122" s="19"/>
      <c r="I122" s="19">
        <v>49</v>
      </c>
      <c r="J122" s="231">
        <v>542.70270000000005</v>
      </c>
      <c r="K122" s="230">
        <v>0.25490000000000002</v>
      </c>
      <c r="L122" s="230">
        <v>5.1000000000000004E-3</v>
      </c>
      <c r="M122" s="232">
        <v>5.7000000000000002E-3</v>
      </c>
      <c r="O122" s="19"/>
      <c r="P122" s="19">
        <v>49</v>
      </c>
      <c r="Q122" s="182">
        <f t="shared" si="12"/>
        <v>-2.0977257919421732E-2</v>
      </c>
      <c r="R122" s="182">
        <f t="shared" si="13"/>
        <v>-6.7612021587363902E-2</v>
      </c>
      <c r="S122" s="182">
        <f t="shared" si="14"/>
        <v>-2.1020092052279504E-2</v>
      </c>
      <c r="T122" s="182">
        <f t="shared" si="15"/>
        <v>-3.5317390048838049E-2</v>
      </c>
    </row>
    <row r="123" spans="1:20">
      <c r="A123" s="19"/>
      <c r="B123" s="19">
        <v>50</v>
      </c>
      <c r="C123" s="231">
        <v>798.14099999999996</v>
      </c>
      <c r="D123" s="230">
        <v>1.0310999999999999</v>
      </c>
      <c r="E123" s="230">
        <v>7.4999999999999997E-3</v>
      </c>
      <c r="F123" s="232">
        <v>1.2E-2</v>
      </c>
      <c r="H123" s="19"/>
      <c r="I123" s="19">
        <v>50</v>
      </c>
      <c r="J123" s="231">
        <v>522.1472</v>
      </c>
      <c r="K123" s="230">
        <v>0.2387</v>
      </c>
      <c r="L123" s="230">
        <v>4.8999999999999998E-3</v>
      </c>
      <c r="M123" s="232">
        <v>5.7999999999999996E-3</v>
      </c>
      <c r="O123" s="19"/>
      <c r="P123" s="19">
        <v>50</v>
      </c>
      <c r="Q123" s="182">
        <f t="shared" si="12"/>
        <v>-2.0993294026309006E-2</v>
      </c>
      <c r="R123" s="182">
        <f t="shared" si="13"/>
        <v>-7.0546683093723694E-2</v>
      </c>
      <c r="S123" s="182">
        <f t="shared" si="14"/>
        <v>-2.1058497731181292E-2</v>
      </c>
      <c r="T123" s="182">
        <f t="shared" si="15"/>
        <v>-3.5699621170797058E-2</v>
      </c>
    </row>
    <row r="124" spans="1:20">
      <c r="A124" s="19"/>
      <c r="B124" s="19">
        <v>51</v>
      </c>
      <c r="C124" s="231">
        <v>830.70860000000005</v>
      </c>
      <c r="D124" s="230">
        <v>1.0417000000000001</v>
      </c>
      <c r="E124" s="230">
        <v>7.7999999999999996E-3</v>
      </c>
      <c r="F124" s="232">
        <v>1.2500000000000001E-2</v>
      </c>
      <c r="H124" s="19"/>
      <c r="I124" s="19">
        <v>51</v>
      </c>
      <c r="J124" s="231">
        <v>546.12260000000003</v>
      </c>
      <c r="K124" s="230">
        <v>0.25480000000000003</v>
      </c>
      <c r="L124" s="230">
        <v>5.1000000000000004E-3</v>
      </c>
      <c r="M124" s="232">
        <v>6.4000000000000003E-3</v>
      </c>
      <c r="O124" s="19"/>
      <c r="P124" s="19">
        <v>51</v>
      </c>
      <c r="Q124" s="182">
        <f t="shared" si="12"/>
        <v>-2.0753400445520542E-2</v>
      </c>
      <c r="R124" s="182">
        <f t="shared" si="13"/>
        <v>-6.7985137434139697E-2</v>
      </c>
      <c r="S124" s="182">
        <f t="shared" si="14"/>
        <v>-2.1020092052279504E-2</v>
      </c>
      <c r="T124" s="182">
        <f t="shared" si="15"/>
        <v>-3.2917558931700341E-2</v>
      </c>
    </row>
    <row r="125" spans="1:20">
      <c r="A125" s="19"/>
      <c r="B125" s="19">
        <v>52</v>
      </c>
      <c r="C125" s="231">
        <v>864.60519999999997</v>
      </c>
      <c r="D125" s="230">
        <v>1.0523</v>
      </c>
      <c r="E125" s="230">
        <v>8.0999999999999996E-3</v>
      </c>
      <c r="F125" s="232">
        <v>1.2999999999999999E-2</v>
      </c>
      <c r="H125" s="19"/>
      <c r="I125" s="19">
        <v>52</v>
      </c>
      <c r="J125" s="231">
        <v>571.19889999999998</v>
      </c>
      <c r="K125" s="230">
        <v>0.27189999999999998</v>
      </c>
      <c r="L125" s="230">
        <v>5.3E-3</v>
      </c>
      <c r="M125" s="232">
        <v>7.0000000000000001E-3</v>
      </c>
      <c r="O125" s="19"/>
      <c r="P125" s="19">
        <v>52</v>
      </c>
      <c r="Q125" s="182">
        <f t="shared" si="12"/>
        <v>-2.0513451839207164E-2</v>
      </c>
      <c r="R125" s="182">
        <f t="shared" si="13"/>
        <v>-6.5426458048311598E-2</v>
      </c>
      <c r="S125" s="182">
        <f t="shared" si="14"/>
        <v>-2.0984556744893301E-2</v>
      </c>
      <c r="T125" s="182">
        <f t="shared" si="15"/>
        <v>-3.0477852606228484E-2</v>
      </c>
    </row>
    <row r="126" spans="1:20">
      <c r="A126" s="19"/>
      <c r="B126" s="19">
        <v>53</v>
      </c>
      <c r="C126" s="231">
        <v>899.88480000000004</v>
      </c>
      <c r="D126" s="230">
        <v>1.0630999999999999</v>
      </c>
      <c r="E126" s="230">
        <v>8.5000000000000006E-3</v>
      </c>
      <c r="F126" s="232">
        <v>1.3599999999999999E-2</v>
      </c>
      <c r="H126" s="19"/>
      <c r="I126" s="19">
        <v>53</v>
      </c>
      <c r="J126" s="231">
        <v>597.42660000000001</v>
      </c>
      <c r="K126" s="230">
        <v>0.29020000000000001</v>
      </c>
      <c r="L126" s="230">
        <v>5.5999999999999999E-3</v>
      </c>
      <c r="M126" s="232">
        <v>7.6E-3</v>
      </c>
      <c r="O126" s="19"/>
      <c r="P126" s="19">
        <v>53</v>
      </c>
      <c r="Q126" s="182">
        <f t="shared" si="12"/>
        <v>-2.0273439553143646E-2</v>
      </c>
      <c r="R126" s="182">
        <f t="shared" si="13"/>
        <v>-6.2856354947308235E-2</v>
      </c>
      <c r="S126" s="182">
        <f t="shared" si="14"/>
        <v>-2.0648810682879715E-2</v>
      </c>
      <c r="T126" s="182">
        <f t="shared" si="15"/>
        <v>-2.8676862094396682E-2</v>
      </c>
    </row>
    <row r="127" spans="1:20">
      <c r="A127" s="19"/>
      <c r="B127" s="19">
        <v>54</v>
      </c>
      <c r="C127" s="231">
        <v>936.60400000000004</v>
      </c>
      <c r="D127" s="230">
        <v>1.0739000000000001</v>
      </c>
      <c r="E127" s="230">
        <v>8.8000000000000005E-3</v>
      </c>
      <c r="F127" s="232">
        <v>1.4200000000000001E-2</v>
      </c>
      <c r="H127" s="19"/>
      <c r="I127" s="19">
        <v>54</v>
      </c>
      <c r="J127" s="231">
        <v>624.85850000000005</v>
      </c>
      <c r="K127" s="230">
        <v>0.30969999999999998</v>
      </c>
      <c r="L127" s="230">
        <v>5.7999999999999996E-3</v>
      </c>
      <c r="M127" s="232">
        <v>8.3000000000000001E-3</v>
      </c>
      <c r="O127" s="19"/>
      <c r="P127" s="19">
        <v>54</v>
      </c>
      <c r="Q127" s="182">
        <f t="shared" si="12"/>
        <v>-2.0033378087142006E-2</v>
      </c>
      <c r="R127" s="182">
        <f t="shared" si="13"/>
        <v>-6.0279138523474107E-2</v>
      </c>
      <c r="S127" s="182">
        <f t="shared" si="14"/>
        <v>-2.0628941315109284E-2</v>
      </c>
      <c r="T127" s="182">
        <f t="shared" si="15"/>
        <v>-2.6492083777675091E-2</v>
      </c>
    </row>
    <row r="128" spans="1:20">
      <c r="A128" s="19"/>
      <c r="B128" s="19">
        <v>55</v>
      </c>
      <c r="C128" s="231">
        <v>974.82159999999999</v>
      </c>
      <c r="D128" s="230">
        <v>1.0849</v>
      </c>
      <c r="E128" s="230">
        <v>9.1000000000000004E-3</v>
      </c>
      <c r="F128" s="232">
        <v>1.4800000000000001E-2</v>
      </c>
      <c r="H128" s="19"/>
      <c r="I128" s="19">
        <v>55</v>
      </c>
      <c r="J128" s="231">
        <v>653.55010000000004</v>
      </c>
      <c r="K128" s="230">
        <v>0.3306</v>
      </c>
      <c r="L128" s="230">
        <v>6.1000000000000004E-3</v>
      </c>
      <c r="M128" s="232">
        <v>9.1000000000000004E-3</v>
      </c>
      <c r="O128" s="19"/>
      <c r="P128" s="19">
        <v>55</v>
      </c>
      <c r="Q128" s="182">
        <f t="shared" si="12"/>
        <v>-1.9793254020880058E-2</v>
      </c>
      <c r="R128" s="182">
        <f t="shared" si="13"/>
        <v>-5.7685970700084188E-2</v>
      </c>
      <c r="S128" s="182">
        <f t="shared" si="14"/>
        <v>-1.9800623025201358E-2</v>
      </c>
      <c r="T128" s="182">
        <f t="shared" si="15"/>
        <v>-2.4024346790602724E-2</v>
      </c>
    </row>
    <row r="129" spans="1:20">
      <c r="A129" s="19"/>
      <c r="B129" s="19">
        <v>56</v>
      </c>
      <c r="C129" s="231">
        <v>1022.8646</v>
      </c>
      <c r="D129" s="230">
        <v>1.0831999999999999</v>
      </c>
      <c r="E129" s="230">
        <v>9.5999999999999992E-3</v>
      </c>
      <c r="F129" s="232">
        <v>1.5699999999999999E-2</v>
      </c>
      <c r="H129" s="19"/>
      <c r="I129" s="19">
        <v>56</v>
      </c>
      <c r="J129" s="231">
        <v>686.27470000000005</v>
      </c>
      <c r="K129" s="230">
        <v>0.36480000000000001</v>
      </c>
      <c r="L129" s="230">
        <v>6.4000000000000003E-3</v>
      </c>
      <c r="M129" s="232">
        <v>0.01</v>
      </c>
      <c r="O129" s="19"/>
      <c r="P129" s="19">
        <v>56</v>
      </c>
      <c r="Q129" s="182">
        <f t="shared" si="12"/>
        <v>-1.9756452978803574E-2</v>
      </c>
      <c r="R129" s="182">
        <f t="shared" si="13"/>
        <v>-5.2962210538573085E-2</v>
      </c>
      <c r="S129" s="182">
        <f t="shared" si="14"/>
        <v>-2.0069134687442314E-2</v>
      </c>
      <c r="T129" s="182">
        <f t="shared" si="15"/>
        <v>-2.2301345800678885E-2</v>
      </c>
    </row>
    <row r="130" spans="1:20">
      <c r="A130" s="19"/>
      <c r="B130" s="19">
        <v>57</v>
      </c>
      <c r="C130" s="231">
        <v>1073.2754</v>
      </c>
      <c r="D130" s="230">
        <v>1.0814999999999999</v>
      </c>
      <c r="E130" s="230">
        <v>1.01E-2</v>
      </c>
      <c r="F130" s="232">
        <v>1.6500000000000001E-2</v>
      </c>
      <c r="H130" s="19"/>
      <c r="I130" s="19">
        <v>57</v>
      </c>
      <c r="J130" s="231">
        <v>720.63789999999995</v>
      </c>
      <c r="K130" s="230">
        <v>0.40250000000000002</v>
      </c>
      <c r="L130" s="230">
        <v>6.7000000000000002E-3</v>
      </c>
      <c r="M130" s="232">
        <v>1.11E-2</v>
      </c>
      <c r="O130" s="19"/>
      <c r="P130" s="19">
        <v>57</v>
      </c>
      <c r="Q130" s="182">
        <f t="shared" si="12"/>
        <v>-1.9719652219169381E-2</v>
      </c>
      <c r="R130" s="182">
        <f t="shared" si="13"/>
        <v>-4.8219137775451282E-2</v>
      </c>
      <c r="S130" s="182">
        <f t="shared" si="14"/>
        <v>-2.031226404392017E-2</v>
      </c>
      <c r="T130" s="182">
        <f t="shared" si="15"/>
        <v>-1.9625623694872862E-2</v>
      </c>
    </row>
    <row r="131" spans="1:20">
      <c r="A131" s="19"/>
      <c r="B131" s="19">
        <v>58</v>
      </c>
      <c r="C131" s="231">
        <v>1126.1706999999999</v>
      </c>
      <c r="D131" s="230">
        <v>1.0797000000000001</v>
      </c>
      <c r="E131" s="230">
        <v>1.0500000000000001E-2</v>
      </c>
      <c r="F131" s="232">
        <v>1.7500000000000002E-2</v>
      </c>
      <c r="H131" s="19"/>
      <c r="I131" s="19">
        <v>58</v>
      </c>
      <c r="J131" s="231">
        <v>756.72170000000006</v>
      </c>
      <c r="K131" s="230">
        <v>0.44419999999999998</v>
      </c>
      <c r="L131" s="230">
        <v>7.1000000000000004E-3</v>
      </c>
      <c r="M131" s="232">
        <v>1.23E-2</v>
      </c>
      <c r="O131" s="19"/>
      <c r="P131" s="19">
        <v>58</v>
      </c>
      <c r="Q131" s="182">
        <f t="shared" si="12"/>
        <v>-1.9682854945155981E-2</v>
      </c>
      <c r="R131" s="182">
        <f t="shared" si="13"/>
        <v>-4.3436571916051436E-2</v>
      </c>
      <c r="S131" s="182">
        <f t="shared" si="14"/>
        <v>-1.9373890089723456E-2</v>
      </c>
      <c r="T131" s="182">
        <f t="shared" si="15"/>
        <v>-1.7475580335813756E-2</v>
      </c>
    </row>
    <row r="132" spans="1:20">
      <c r="A132" s="19"/>
      <c r="B132" s="19">
        <v>59</v>
      </c>
      <c r="C132" s="231">
        <v>1181.6728000000001</v>
      </c>
      <c r="D132" s="230">
        <v>1.0780000000000001</v>
      </c>
      <c r="E132" s="230">
        <v>1.11E-2</v>
      </c>
      <c r="F132" s="232">
        <v>1.84E-2</v>
      </c>
      <c r="H132" s="19"/>
      <c r="I132" s="19">
        <v>59</v>
      </c>
      <c r="J132" s="231">
        <v>794.6123</v>
      </c>
      <c r="K132" s="230">
        <v>0.49020000000000002</v>
      </c>
      <c r="L132" s="230">
        <v>7.4000000000000003E-3</v>
      </c>
      <c r="M132" s="232">
        <v>1.37E-2</v>
      </c>
      <c r="O132" s="19"/>
      <c r="P132" s="19">
        <v>59</v>
      </c>
      <c r="Q132" s="182">
        <f t="shared" si="12"/>
        <v>-1.964605180557033E-2</v>
      </c>
      <c r="R132" s="182">
        <f t="shared" si="13"/>
        <v>-3.8636283028631979E-2</v>
      </c>
      <c r="S132" s="182">
        <f t="shared" si="14"/>
        <v>-2.0069134687442314E-2</v>
      </c>
      <c r="T132" s="182">
        <f t="shared" si="15"/>
        <v>-1.4639526278345305E-2</v>
      </c>
    </row>
    <row r="133" spans="1:20">
      <c r="A133" s="19"/>
      <c r="B133" s="19">
        <v>60</v>
      </c>
      <c r="C133" s="231">
        <v>1239.9103</v>
      </c>
      <c r="D133" s="230">
        <v>1.0763</v>
      </c>
      <c r="E133" s="230">
        <v>1.1599999999999999E-2</v>
      </c>
      <c r="F133" s="232">
        <v>1.95E-2</v>
      </c>
      <c r="H133" s="19"/>
      <c r="I133" s="19">
        <v>60</v>
      </c>
      <c r="J133" s="231">
        <v>834.40020000000004</v>
      </c>
      <c r="K133" s="230">
        <v>0.54090000000000005</v>
      </c>
      <c r="L133" s="230">
        <v>7.7999999999999996E-3</v>
      </c>
      <c r="M133" s="232">
        <v>1.5100000000000001E-2</v>
      </c>
      <c r="O133" s="19"/>
      <c r="P133" s="19">
        <v>60</v>
      </c>
      <c r="Q133" s="182">
        <f t="shared" si="12"/>
        <v>-1.9609246468089481E-2</v>
      </c>
      <c r="R133" s="182">
        <f t="shared" si="13"/>
        <v>-3.3817466620029157E-2</v>
      </c>
      <c r="S133" s="182">
        <f t="shared" si="14"/>
        <v>-1.9648470652936956E-2</v>
      </c>
      <c r="T133" s="182">
        <f t="shared" si="15"/>
        <v>-1.2704592635147782E-2</v>
      </c>
    </row>
    <row r="134" spans="1:20">
      <c r="A134" s="19"/>
      <c r="B134" s="19">
        <v>61</v>
      </c>
      <c r="C134" s="231">
        <v>1264.0963999999999</v>
      </c>
      <c r="D134" s="230">
        <v>1.1266</v>
      </c>
      <c r="E134" s="230">
        <v>1.18E-2</v>
      </c>
      <c r="F134" s="232">
        <v>2.06E-2</v>
      </c>
      <c r="H134" s="19"/>
      <c r="I134" s="19">
        <v>61</v>
      </c>
      <c r="J134" s="231">
        <v>852.48789999999997</v>
      </c>
      <c r="K134" s="230">
        <v>0.58609999999999995</v>
      </c>
      <c r="L134" s="230">
        <v>8.0000000000000002E-3</v>
      </c>
      <c r="M134" s="232">
        <v>1.6199999999999999E-2</v>
      </c>
      <c r="O134" s="19"/>
      <c r="P134" s="19">
        <v>61</v>
      </c>
      <c r="Q134" s="182">
        <f t="shared" si="12"/>
        <v>-1.9504959121051768E-2</v>
      </c>
      <c r="R134" s="182">
        <f t="shared" si="13"/>
        <v>-3.2145444085425967E-2</v>
      </c>
      <c r="S134" s="182">
        <f t="shared" si="14"/>
        <v>-1.92452978780977E-2</v>
      </c>
      <c r="T134" s="182">
        <f t="shared" si="15"/>
        <v>-1.1942111822462742E-2</v>
      </c>
    </row>
    <row r="135" spans="1:20">
      <c r="A135" s="19"/>
      <c r="B135" s="19">
        <v>62</v>
      </c>
      <c r="C135" s="231">
        <v>1288.7544</v>
      </c>
      <c r="D135" s="230">
        <v>1.1792</v>
      </c>
      <c r="E135" s="230">
        <v>1.21E-2</v>
      </c>
      <c r="F135" s="232">
        <v>2.1899999999999999E-2</v>
      </c>
      <c r="H135" s="19"/>
      <c r="I135" s="19">
        <v>62</v>
      </c>
      <c r="J135" s="231">
        <v>870.96770000000004</v>
      </c>
      <c r="K135" s="230">
        <v>0.6351</v>
      </c>
      <c r="L135" s="230">
        <v>8.2000000000000007E-3</v>
      </c>
      <c r="M135" s="232">
        <v>1.7299999999999999E-2</v>
      </c>
      <c r="O135" s="19"/>
      <c r="P135" s="19">
        <v>62</v>
      </c>
      <c r="Q135" s="182">
        <f t="shared" si="12"/>
        <v>-1.9400664936451206E-2</v>
      </c>
      <c r="R135" s="182">
        <f t="shared" si="13"/>
        <v>-3.0466695582678116E-2</v>
      </c>
      <c r="S135" s="182">
        <f t="shared" si="14"/>
        <v>-1.926556538341484E-2</v>
      </c>
      <c r="T135" s="182">
        <f t="shared" si="15"/>
        <v>-1.1719788696778921E-2</v>
      </c>
    </row>
    <row r="136" spans="1:20">
      <c r="A136" s="19"/>
      <c r="B136" s="19">
        <v>63</v>
      </c>
      <c r="C136" s="231">
        <v>1313.8933</v>
      </c>
      <c r="D136" s="230">
        <v>1.2343</v>
      </c>
      <c r="E136" s="230">
        <v>1.23E-2</v>
      </c>
      <c r="F136" s="232">
        <v>2.3199999999999998E-2</v>
      </c>
      <c r="H136" s="19"/>
      <c r="I136" s="19">
        <v>63</v>
      </c>
      <c r="J136" s="231">
        <v>889.84810000000004</v>
      </c>
      <c r="K136" s="230">
        <v>0.68820000000000003</v>
      </c>
      <c r="L136" s="230">
        <v>8.3000000000000001E-3</v>
      </c>
      <c r="M136" s="232">
        <v>1.8499999999999999E-2</v>
      </c>
      <c r="O136" s="19"/>
      <c r="P136" s="19">
        <v>63</v>
      </c>
      <c r="Q136" s="182">
        <f t="shared" si="12"/>
        <v>-1.9296356086290323E-2</v>
      </c>
      <c r="R136" s="182">
        <f t="shared" si="13"/>
        <v>-2.8786530326434856E-2</v>
      </c>
      <c r="S136" s="182">
        <f t="shared" si="14"/>
        <v>-1.9475049911972131E-2</v>
      </c>
      <c r="T136" s="182">
        <f t="shared" si="15"/>
        <v>-1.1255257594069756E-2</v>
      </c>
    </row>
    <row r="137" spans="1:20">
      <c r="A137" s="19"/>
      <c r="B137" s="19">
        <v>64</v>
      </c>
      <c r="C137" s="231">
        <v>1339.5226</v>
      </c>
      <c r="D137" s="230">
        <v>1.292</v>
      </c>
      <c r="E137" s="230">
        <v>1.26E-2</v>
      </c>
      <c r="F137" s="232">
        <v>2.47E-2</v>
      </c>
      <c r="H137" s="19"/>
      <c r="I137" s="19">
        <v>64</v>
      </c>
      <c r="J137" s="231">
        <v>909.1377</v>
      </c>
      <c r="K137" s="230">
        <v>0.74570000000000003</v>
      </c>
      <c r="L137" s="230">
        <v>8.5000000000000006E-3</v>
      </c>
      <c r="M137" s="232">
        <v>1.9699999999999999E-2</v>
      </c>
      <c r="O137" s="19"/>
      <c r="P137" s="19">
        <v>64</v>
      </c>
      <c r="Q137" s="182">
        <f t="shared" si="12"/>
        <v>-1.919204160705823E-2</v>
      </c>
      <c r="R137" s="182">
        <f t="shared" si="13"/>
        <v>-2.710699365569913E-2</v>
      </c>
      <c r="S137" s="182">
        <f t="shared" si="14"/>
        <v>-1.94891155829513E-2</v>
      </c>
      <c r="T137" s="182">
        <f t="shared" si="15"/>
        <v>-1.1245521441023199E-2</v>
      </c>
    </row>
    <row r="138" spans="1:20">
      <c r="A138" s="19"/>
      <c r="B138" s="19">
        <v>65</v>
      </c>
      <c r="C138" s="231">
        <v>1365.6518000000001</v>
      </c>
      <c r="D138" s="230">
        <v>1.3524</v>
      </c>
      <c r="E138" s="230">
        <v>1.2800000000000001E-2</v>
      </c>
      <c r="F138" s="232">
        <v>2.6200000000000001E-2</v>
      </c>
      <c r="H138" s="19"/>
      <c r="I138" s="19">
        <v>65</v>
      </c>
      <c r="J138" s="231">
        <v>928.84559999999999</v>
      </c>
      <c r="K138" s="230">
        <v>0.80810000000000004</v>
      </c>
      <c r="L138" s="230">
        <v>8.6999999999999994E-3</v>
      </c>
      <c r="M138" s="232">
        <v>2.1100000000000001E-2</v>
      </c>
      <c r="O138" s="19"/>
      <c r="P138" s="19">
        <v>65</v>
      </c>
      <c r="Q138" s="182">
        <f t="shared" si="12"/>
        <v>-1.9087706783037839E-2</v>
      </c>
      <c r="R138" s="182">
        <f t="shared" si="13"/>
        <v>-2.5418872270862924E-2</v>
      </c>
      <c r="S138" s="182">
        <f t="shared" si="14"/>
        <v>-1.9120937922153414E-2</v>
      </c>
      <c r="T138" s="182">
        <f t="shared" si="15"/>
        <v>-1.0765946381296909E-2</v>
      </c>
    </row>
    <row r="139" spans="1:20">
      <c r="A139" s="19"/>
      <c r="B139" s="19">
        <v>66</v>
      </c>
      <c r="C139" s="231">
        <v>1350.2911999999999</v>
      </c>
      <c r="D139" s="230">
        <v>1.3589</v>
      </c>
      <c r="E139" s="230">
        <v>1.2699999999999999E-2</v>
      </c>
      <c r="F139" s="232">
        <v>2.64E-2</v>
      </c>
      <c r="H139" s="19"/>
      <c r="I139" s="19">
        <v>66</v>
      </c>
      <c r="J139" s="231">
        <v>929.4837</v>
      </c>
      <c r="K139" s="230">
        <v>0.8155</v>
      </c>
      <c r="L139" s="230">
        <v>8.6999999999999994E-3</v>
      </c>
      <c r="M139" s="232">
        <v>2.1299999999999999E-2</v>
      </c>
      <c r="O139" s="19"/>
      <c r="P139" s="19">
        <v>66</v>
      </c>
      <c r="Q139" s="182">
        <f t="shared" si="12"/>
        <v>-1.8499066390138763E-2</v>
      </c>
      <c r="R139" s="182">
        <f t="shared" si="13"/>
        <v>-2.5208298497693349E-2</v>
      </c>
      <c r="S139" s="182">
        <f t="shared" si="14"/>
        <v>-1.873620206070914E-2</v>
      </c>
      <c r="T139" s="182">
        <f t="shared" si="15"/>
        <v>-1.067545537907022E-2</v>
      </c>
    </row>
    <row r="140" spans="1:20">
      <c r="A140" s="19"/>
      <c r="B140" s="19">
        <v>67</v>
      </c>
      <c r="C140" s="231">
        <v>1335.1033</v>
      </c>
      <c r="D140" s="230">
        <v>1.3654999999999999</v>
      </c>
      <c r="E140" s="230">
        <v>1.2500000000000001E-2</v>
      </c>
      <c r="F140" s="232">
        <v>2.6599999999999999E-2</v>
      </c>
      <c r="H140" s="19"/>
      <c r="I140" s="19">
        <v>67</v>
      </c>
      <c r="J140" s="231">
        <v>930.12239999999997</v>
      </c>
      <c r="K140" s="230">
        <v>0.82299999999999995</v>
      </c>
      <c r="L140" s="230">
        <v>8.6999999999999994E-3</v>
      </c>
      <c r="M140" s="232">
        <v>2.1600000000000001E-2</v>
      </c>
      <c r="O140" s="19"/>
      <c r="P140" s="19">
        <v>67</v>
      </c>
      <c r="Q140" s="182">
        <f t="shared" si="12"/>
        <v>-1.7910061531507093E-2</v>
      </c>
      <c r="R140" s="182">
        <f t="shared" si="13"/>
        <v>-2.4998224550239478E-2</v>
      </c>
      <c r="S140" s="182">
        <f t="shared" si="14"/>
        <v>-1.7957095782000554E-2</v>
      </c>
      <c r="T140" s="182">
        <f t="shared" si="15"/>
        <v>-1.0356889265640823E-2</v>
      </c>
    </row>
    <row r="141" spans="1:20">
      <c r="A141" s="19"/>
      <c r="B141" s="19">
        <v>68</v>
      </c>
      <c r="C141" s="231">
        <v>1320.0862</v>
      </c>
      <c r="D141" s="230">
        <v>1.3722000000000001</v>
      </c>
      <c r="E141" s="230">
        <v>1.24E-2</v>
      </c>
      <c r="F141" s="232">
        <v>2.69E-2</v>
      </c>
      <c r="H141" s="19"/>
      <c r="I141" s="19">
        <v>68</v>
      </c>
      <c r="J141" s="231">
        <v>930.76139999999998</v>
      </c>
      <c r="K141" s="230">
        <v>0.8306</v>
      </c>
      <c r="L141" s="230">
        <v>8.6999999999999994E-3</v>
      </c>
      <c r="M141" s="232">
        <v>2.18E-2</v>
      </c>
      <c r="O141" s="19"/>
      <c r="P141" s="19">
        <v>68</v>
      </c>
      <c r="Q141" s="182">
        <f t="shared" si="12"/>
        <v>-1.732070936562935E-2</v>
      </c>
      <c r="R141" s="182">
        <f t="shared" si="13"/>
        <v>-2.4788698476225113E-2</v>
      </c>
      <c r="S141" s="182">
        <f t="shared" si="14"/>
        <v>-1.7562619713776928E-2</v>
      </c>
      <c r="T141" s="182">
        <f t="shared" si="15"/>
        <v>-1.0455770242673412E-2</v>
      </c>
    </row>
    <row r="142" spans="1:20">
      <c r="A142" s="19"/>
      <c r="B142" s="19">
        <v>69</v>
      </c>
      <c r="C142" s="231">
        <v>1305.2381</v>
      </c>
      <c r="D142" s="230">
        <v>1.3788</v>
      </c>
      <c r="E142" s="230">
        <v>1.23E-2</v>
      </c>
      <c r="F142" s="232">
        <v>2.7099999999999999E-2</v>
      </c>
      <c r="H142" s="19"/>
      <c r="I142" s="19">
        <v>69</v>
      </c>
      <c r="J142" s="231">
        <v>931.40089999999998</v>
      </c>
      <c r="K142" s="230">
        <v>0.83830000000000005</v>
      </c>
      <c r="L142" s="230">
        <v>8.8000000000000005E-3</v>
      </c>
      <c r="M142" s="232">
        <v>2.1999999999999999E-2</v>
      </c>
      <c r="O142" s="19"/>
      <c r="P142" s="19">
        <v>69</v>
      </c>
      <c r="Q142" s="182">
        <f t="shared" si="12"/>
        <v>-1.6731003671437317E-2</v>
      </c>
      <c r="R142" s="182">
        <f t="shared" si="13"/>
        <v>-2.4572692752204639E-2</v>
      </c>
      <c r="S142" s="182">
        <f t="shared" si="14"/>
        <v>-1.6603002355358498E-2</v>
      </c>
      <c r="T142" s="182">
        <f t="shared" si="15"/>
        <v>-1.0370416279765649E-2</v>
      </c>
    </row>
    <row r="143" spans="1:20">
      <c r="A143" s="19"/>
      <c r="B143" s="19">
        <v>70</v>
      </c>
      <c r="C143" s="231">
        <v>1290.5569</v>
      </c>
      <c r="D143" s="230">
        <v>1.3855</v>
      </c>
      <c r="E143" s="230">
        <v>1.2200000000000001E-2</v>
      </c>
      <c r="F143" s="232">
        <v>2.7300000000000001E-2</v>
      </c>
      <c r="H143" s="19"/>
      <c r="I143" s="19">
        <v>70</v>
      </c>
      <c r="J143" s="231">
        <v>932.04079999999999</v>
      </c>
      <c r="K143" s="230">
        <v>0.84599999999999997</v>
      </c>
      <c r="L143" s="230">
        <v>8.8000000000000005E-3</v>
      </c>
      <c r="M143" s="232">
        <v>2.23E-2</v>
      </c>
      <c r="O143" s="19"/>
      <c r="P143" s="19">
        <v>70</v>
      </c>
      <c r="Q143" s="182">
        <f t="shared" si="12"/>
        <v>-1.6140942024576499E-2</v>
      </c>
      <c r="R143" s="182">
        <f t="shared" si="13"/>
        <v>-2.4363158301552446E-2</v>
      </c>
      <c r="S143" s="182">
        <f t="shared" si="14"/>
        <v>-1.6201531669014502E-2</v>
      </c>
      <c r="T143" s="182">
        <f t="shared" si="15"/>
        <v>-1.0064016609563242E-2</v>
      </c>
    </row>
    <row r="144" spans="1:20">
      <c r="H144" s="19"/>
      <c r="I144" s="23"/>
      <c r="J144" s="21"/>
      <c r="K144" s="20"/>
      <c r="L144" s="20"/>
      <c r="M144" s="22"/>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R109"/>
  <sheetViews>
    <sheetView zoomScale="110" zoomScaleNormal="110" workbookViewId="0">
      <selection activeCell="C38" sqref="C38"/>
    </sheetView>
  </sheetViews>
  <sheetFormatPr defaultRowHeight="14.4"/>
  <sheetData>
    <row r="1" spans="1:44" s="182" customFormat="1" ht="23.4" thickBot="1">
      <c r="A1" s="271" t="str">
        <f>'Title Sheet'!$A$2</f>
        <v>Benefit-Cost Analysis Spreadsheet for the Illinois International Port - Calumet Bridges Rehabilitation Project</v>
      </c>
    </row>
    <row r="2" spans="1:44" ht="15" thickTop="1">
      <c r="A2" s="10"/>
      <c r="B2" s="10"/>
      <c r="C2" s="10"/>
      <c r="D2" s="10"/>
      <c r="E2" s="409" t="s">
        <v>33</v>
      </c>
      <c r="F2" s="291" t="s">
        <v>215</v>
      </c>
    </row>
    <row r="3" spans="1:44" ht="43.2">
      <c r="A3" s="13"/>
      <c r="B3" s="12"/>
      <c r="C3" s="12"/>
      <c r="D3" s="12"/>
      <c r="E3" s="12"/>
      <c r="F3" s="12"/>
      <c r="I3" s="9" t="s">
        <v>163</v>
      </c>
      <c r="J3" s="182" t="s">
        <v>162</v>
      </c>
      <c r="K3" s="182"/>
      <c r="L3" s="182"/>
      <c r="M3" s="182"/>
      <c r="N3" s="182"/>
      <c r="O3" s="13"/>
      <c r="P3" s="12"/>
      <c r="Q3" s="12"/>
      <c r="R3" s="12"/>
      <c r="S3" s="12"/>
      <c r="T3" s="1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row>
    <row r="4" spans="1:44">
      <c r="A4" s="14"/>
      <c r="C4">
        <v>2</v>
      </c>
      <c r="D4">
        <v>3</v>
      </c>
      <c r="E4">
        <v>4</v>
      </c>
      <c r="F4">
        <v>5</v>
      </c>
      <c r="I4" s="182"/>
      <c r="J4" s="4">
        <v>-1.1731843089084548E-2</v>
      </c>
      <c r="K4" s="4">
        <v>-5.4464832141612532E-2</v>
      </c>
      <c r="L4" s="4">
        <v>-1.1828757519935996E-2</v>
      </c>
      <c r="M4" s="4">
        <v>-5.0781437160678997E-2</v>
      </c>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row>
    <row r="5" spans="1:44" ht="15.6">
      <c r="A5" s="401" t="s">
        <v>26</v>
      </c>
      <c r="B5" s="401" t="s">
        <v>19</v>
      </c>
      <c r="C5" s="401" t="s">
        <v>27</v>
      </c>
      <c r="D5" s="401" t="s">
        <v>28</v>
      </c>
      <c r="E5" s="401" t="s">
        <v>29</v>
      </c>
      <c r="F5" s="401" t="s">
        <v>30</v>
      </c>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row>
    <row r="6" spans="1:44" ht="15.6">
      <c r="A6" s="404" t="s">
        <v>31</v>
      </c>
      <c r="B6" s="404">
        <v>26</v>
      </c>
      <c r="C6" s="405">
        <f>VLOOKUP($B6, 'Environmental Factors'!$B$6:$F$73, 2, FALSE)</f>
        <v>327.27409999999998</v>
      </c>
      <c r="D6" s="405">
        <f>VLOOKUP($B6, 'Environmental Factors'!$B$6:$F$73, 3, FALSE)</f>
        <v>7.1099999999999997E-2</v>
      </c>
      <c r="E6" s="405">
        <f>VLOOKUP($B6, 'Environmental Factors'!$B$6:$F$73, 4, FALSE)</f>
        <v>3.2000000000000002E-3</v>
      </c>
      <c r="F6" s="405">
        <f>VLOOKUP($B6, 'Environmental Factors'!$B$6:$F$73, 5, FALSE)</f>
        <v>1.6999999999999999E-3</v>
      </c>
      <c r="G6" s="245"/>
      <c r="H6" s="245"/>
      <c r="I6" s="327"/>
      <c r="J6" s="401" t="s">
        <v>27</v>
      </c>
      <c r="K6" s="401" t="s">
        <v>28</v>
      </c>
      <c r="L6" s="401" t="s">
        <v>29</v>
      </c>
      <c r="M6" s="401" t="s">
        <v>30</v>
      </c>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row>
    <row r="7" spans="1:44" s="182" customFormat="1">
      <c r="A7" s="404"/>
      <c r="B7" s="404">
        <v>27</v>
      </c>
      <c r="C7" s="405">
        <f>VLOOKUP($B7, 'Environmental Factors'!$B$6:$F$73, 2, FALSE)</f>
        <v>322.62889999999999</v>
      </c>
      <c r="D7" s="405">
        <f>VLOOKUP($B7, 'Environmental Factors'!$B$6:$F$73, 3, FALSE)</f>
        <v>7.0300000000000001E-2</v>
      </c>
      <c r="E7" s="405">
        <f>VLOOKUP($B7, 'Environmental Factors'!$B$6:$F$73, 4, FALSE)</f>
        <v>3.2000000000000002E-3</v>
      </c>
      <c r="F7" s="405">
        <f>VLOOKUP($B7, 'Environmental Factors'!$B$6:$F$73, 5, FALSE)</f>
        <v>1.6999999999999999E-3</v>
      </c>
      <c r="G7" s="245"/>
      <c r="H7" s="245"/>
      <c r="I7" s="404">
        <v>2025</v>
      </c>
      <c r="J7" s="406">
        <v>0.98826815691091541</v>
      </c>
      <c r="K7" s="406">
        <v>0.94553516785838743</v>
      </c>
      <c r="L7" s="406">
        <v>0.98817124248006405</v>
      </c>
      <c r="M7" s="406">
        <v>0.94921856283932105</v>
      </c>
    </row>
    <row r="8" spans="1:44" s="182" customFormat="1">
      <c r="A8" s="404"/>
      <c r="B8" s="404">
        <v>28</v>
      </c>
      <c r="C8" s="405">
        <f>VLOOKUP($B8, 'Environmental Factors'!$B$6:$F$73, 2, FALSE)</f>
        <v>318.04969999999997</v>
      </c>
      <c r="D8" s="405">
        <f>VLOOKUP($B8, 'Environmental Factors'!$B$6:$F$73, 3, FALSE)</f>
        <v>6.9599999999999995E-2</v>
      </c>
      <c r="E8" s="405">
        <f>VLOOKUP($B8, 'Environmental Factors'!$B$6:$F$73, 4, FALSE)</f>
        <v>3.0999999999999999E-3</v>
      </c>
      <c r="F8" s="405">
        <f>VLOOKUP($B8, 'Environmental Factors'!$B$6:$F$73, 5, FALSE)</f>
        <v>1.6000000000000001E-3</v>
      </c>
      <c r="G8" s="245"/>
      <c r="H8" s="245"/>
      <c r="I8" s="404">
        <v>2026</v>
      </c>
      <c r="J8" s="406">
        <v>0.97667394996409773</v>
      </c>
      <c r="K8" s="406">
        <v>0.89403675365698887</v>
      </c>
      <c r="L8" s="406">
        <v>0.97648240446459356</v>
      </c>
      <c r="M8" s="406">
        <v>0.90101588003874611</v>
      </c>
    </row>
    <row r="9" spans="1:44" s="34" customFormat="1">
      <c r="A9" s="404"/>
      <c r="B9" s="404">
        <v>29</v>
      </c>
      <c r="C9" s="405">
        <f>VLOOKUP($B9, 'Environmental Factors'!$B$6:$F$73, 2, FALSE)</f>
        <v>313.53550000000001</v>
      </c>
      <c r="D9" s="405">
        <f>VLOOKUP($B9, 'Environmental Factors'!$B$6:$F$73, 3, FALSE)</f>
        <v>6.8900000000000003E-2</v>
      </c>
      <c r="E9" s="405">
        <f>VLOOKUP($B9, 'Environmental Factors'!$B$6:$F$73, 4, FALSE)</f>
        <v>3.0999999999999999E-3</v>
      </c>
      <c r="F9" s="405">
        <f>VLOOKUP($B9, 'Environmental Factors'!$B$6:$F$73, 5, FALSE)</f>
        <v>1.5E-3</v>
      </c>
      <c r="G9" s="245"/>
      <c r="H9" s="245"/>
      <c r="I9" s="404">
        <v>2027</v>
      </c>
      <c r="J9" s="406">
        <v>0.96521576443392243</v>
      </c>
      <c r="K9" s="406">
        <v>0.84534319194062879</v>
      </c>
      <c r="L9" s="406">
        <v>0.9649318308796978</v>
      </c>
      <c r="M9" s="406">
        <v>0.85526099874578465</v>
      </c>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row>
    <row r="10" spans="1:44" s="34" customFormat="1">
      <c r="A10" s="404"/>
      <c r="B10" s="404">
        <v>30</v>
      </c>
      <c r="C10" s="405">
        <f>VLOOKUP($B10, 'Environmental Factors'!$B$6:$F$73, 2, FALSE)</f>
        <v>309.08539999999999</v>
      </c>
      <c r="D10" s="405">
        <f>VLOOKUP($B10, 'Environmental Factors'!$B$6:$F$73, 3, FALSE)</f>
        <v>6.8199999999999997E-2</v>
      </c>
      <c r="E10" s="405">
        <f>VLOOKUP($B10, 'Environmental Factors'!$B$6:$F$73, 4, FALSE)</f>
        <v>3.0999999999999999E-3</v>
      </c>
      <c r="F10" s="405">
        <f>VLOOKUP($B10, 'Environmental Factors'!$B$6:$F$73, 5, FALSE)</f>
        <v>1.5E-3</v>
      </c>
      <c r="G10" s="245"/>
      <c r="H10" s="245"/>
      <c r="I10" s="404">
        <v>2028</v>
      </c>
      <c r="J10" s="406">
        <v>0.95389200453847278</v>
      </c>
      <c r="K10" s="406">
        <v>0.79930171688952745</v>
      </c>
      <c r="L10" s="406">
        <v>0.95351788622895406</v>
      </c>
      <c r="M10" s="406">
        <v>0.81182961608199611</v>
      </c>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row>
    <row r="11" spans="1:44" s="34" customFormat="1">
      <c r="A11" s="404"/>
      <c r="B11" s="404">
        <v>31</v>
      </c>
      <c r="C11" s="405">
        <f>VLOOKUP($B11, 'Environmental Factors'!$B$6:$F$73, 2, FALSE)</f>
        <v>304.8313</v>
      </c>
      <c r="D11" s="405">
        <f>VLOOKUP($B11, 'Environmental Factors'!$B$6:$F$73, 3, FALSE)</f>
        <v>6.7900000000000002E-2</v>
      </c>
      <c r="E11" s="405">
        <f>VLOOKUP($B11, 'Environmental Factors'!$B$6:$F$73, 4, FALSE)</f>
        <v>3.0000000000000001E-3</v>
      </c>
      <c r="F11" s="405">
        <f>VLOOKUP($B11, 'Environmental Factors'!$B$6:$F$73, 5, FALSE)</f>
        <v>1.4E-3</v>
      </c>
      <c r="G11" s="245"/>
      <c r="H11" s="245"/>
      <c r="I11" s="404">
        <v>2029</v>
      </c>
      <c r="J11" s="406">
        <v>0.94270109321729501</v>
      </c>
      <c r="K11" s="406">
        <v>0.75576788304863662</v>
      </c>
      <c r="L11" s="406">
        <v>0.94223895436182992</v>
      </c>
      <c r="M11" s="406">
        <v>0.77060374144775012</v>
      </c>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row>
    <row r="12" spans="1:44" s="34" customFormat="1">
      <c r="A12" s="404"/>
      <c r="B12" s="404">
        <v>32</v>
      </c>
      <c r="C12" s="405">
        <f>VLOOKUP($B12, 'Environmental Factors'!$B$6:$F$73, 2, FALSE)</f>
        <v>300.63569999999999</v>
      </c>
      <c r="D12" s="405">
        <f>VLOOKUP($B12, 'Environmental Factors'!$B$6:$F$73, 3, FALSE)</f>
        <v>6.7500000000000004E-2</v>
      </c>
      <c r="E12" s="405">
        <f>VLOOKUP($B12, 'Environmental Factors'!$B$6:$F$73, 4, FALSE)</f>
        <v>3.0000000000000001E-3</v>
      </c>
      <c r="F12" s="405">
        <f>VLOOKUP($B12, 'Environmental Factors'!$B$6:$F$73, 5, FALSE)</f>
        <v>1.4E-3</v>
      </c>
      <c r="G12" s="245"/>
      <c r="H12" s="245"/>
      <c r="I12" s="245"/>
      <c r="J12" s="245"/>
      <c r="K12" s="245"/>
      <c r="L12" s="245"/>
      <c r="M12" s="245"/>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row>
    <row r="13" spans="1:44" s="34" customFormat="1">
      <c r="A13" s="404"/>
      <c r="B13" s="404">
        <v>33</v>
      </c>
      <c r="C13" s="405">
        <f>VLOOKUP($B13, 'Environmental Factors'!$B$6:$F$73, 2, FALSE)</f>
        <v>296.49790000000002</v>
      </c>
      <c r="D13" s="405">
        <f>VLOOKUP($B13, 'Environmental Factors'!$B$6:$F$73, 3, FALSE)</f>
        <v>6.7100000000000007E-2</v>
      </c>
      <c r="E13" s="405">
        <f>VLOOKUP($B13, 'Environmental Factors'!$B$6:$F$73, 4, FALSE)</f>
        <v>2.8999999999999998E-3</v>
      </c>
      <c r="F13" s="405">
        <f>VLOOKUP($B13, 'Environmental Factors'!$B$6:$F$73, 5, FALSE)</f>
        <v>1.2999999999999999E-3</v>
      </c>
      <c r="G13" s="245"/>
      <c r="H13" s="245"/>
      <c r="I13" s="245"/>
      <c r="J13" s="245"/>
      <c r="K13" s="245"/>
      <c r="L13" s="245"/>
      <c r="M13" s="245"/>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row>
    <row r="14" spans="1:44">
      <c r="A14" s="327"/>
      <c r="B14" s="404">
        <v>34</v>
      </c>
      <c r="C14" s="405">
        <f>VLOOKUP($B14, 'Environmental Factors'!$B$6:$F$73, 2, FALSE)</f>
        <v>292.4171</v>
      </c>
      <c r="D14" s="405">
        <f>VLOOKUP($B14, 'Environmental Factors'!$B$6:$F$73, 3, FALSE)</f>
        <v>6.6699999999999995E-2</v>
      </c>
      <c r="E14" s="405">
        <f>VLOOKUP($B14, 'Environmental Factors'!$B$6:$F$73, 4, FALSE)</f>
        <v>2.8999999999999998E-3</v>
      </c>
      <c r="F14" s="405">
        <f>VLOOKUP($B14, 'Environmental Factors'!$B$6:$F$73, 5, FALSE)</f>
        <v>1.2999999999999999E-3</v>
      </c>
      <c r="G14" s="245"/>
      <c r="H14" s="245"/>
      <c r="I14" s="245"/>
      <c r="J14" s="245"/>
      <c r="K14" s="245"/>
      <c r="L14" s="245"/>
      <c r="M14" s="245"/>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row>
    <row r="15" spans="1:44" s="182" customFormat="1">
      <c r="A15" s="327"/>
      <c r="B15" s="404">
        <v>35</v>
      </c>
      <c r="C15" s="405">
        <f>VLOOKUP($B15, 'Environmental Factors'!$B$6:$F$73, 2, FALSE)</f>
        <v>288.39240000000001</v>
      </c>
      <c r="D15" s="405">
        <f>VLOOKUP($B15, 'Environmental Factors'!$B$6:$F$73, 3, FALSE)</f>
        <v>6.6299999999999998E-2</v>
      </c>
      <c r="E15" s="405">
        <f>VLOOKUP($B15, 'Environmental Factors'!$B$6:$F$73, 4, FALSE)</f>
        <v>2.8999999999999998E-3</v>
      </c>
      <c r="F15" s="405">
        <f>VLOOKUP($B15, 'Environmental Factors'!$B$6:$F$73, 5, FALSE)</f>
        <v>1.1999999999999999E-3</v>
      </c>
      <c r="G15" s="245"/>
      <c r="H15" s="245"/>
      <c r="I15" s="245"/>
      <c r="J15" s="245"/>
      <c r="K15" s="245"/>
      <c r="L15" s="245"/>
      <c r="M15" s="245"/>
    </row>
    <row r="16" spans="1:44" s="182" customFormat="1">
      <c r="A16" s="327"/>
      <c r="B16" s="404">
        <v>36</v>
      </c>
      <c r="C16" s="405">
        <f>VLOOKUP($B16, 'Environmental Factors'!$B$6:$F$73, 2, FALSE)</f>
        <v>287.18729999999999</v>
      </c>
      <c r="D16" s="405">
        <f>VLOOKUP($B16, 'Environmental Factors'!$B$6:$F$73, 3, FALSE)</f>
        <v>6.6100000000000006E-2</v>
      </c>
      <c r="E16" s="405">
        <f>VLOOKUP($B16, 'Environmental Factors'!$B$6:$F$73, 4, FALSE)</f>
        <v>2.8E-3</v>
      </c>
      <c r="F16" s="405">
        <f>VLOOKUP($B16, 'Environmental Factors'!$B$6:$F$73, 5, FALSE)</f>
        <v>1.1999999999999999E-3</v>
      </c>
      <c r="G16" s="245"/>
      <c r="H16" s="245"/>
      <c r="I16" s="245"/>
      <c r="J16" s="245"/>
      <c r="K16" s="245"/>
      <c r="L16" s="245"/>
      <c r="M16" s="245"/>
    </row>
    <row r="17" spans="1:44" s="182" customFormat="1">
      <c r="A17" s="327"/>
      <c r="B17" s="404">
        <v>37</v>
      </c>
      <c r="C17" s="405">
        <f>VLOOKUP($B17, 'Environmental Factors'!$B$6:$F$73, 2, FALSE)</f>
        <v>285.98719999999997</v>
      </c>
      <c r="D17" s="405">
        <f>VLOOKUP($B17, 'Environmental Factors'!$B$6:$F$73, 3, FALSE)</f>
        <v>6.5799999999999997E-2</v>
      </c>
      <c r="E17" s="405">
        <f>VLOOKUP($B17, 'Environmental Factors'!$B$6:$F$73, 4, FALSE)</f>
        <v>2.8E-3</v>
      </c>
      <c r="F17" s="405">
        <f>VLOOKUP($B17, 'Environmental Factors'!$B$6:$F$73, 5, FALSE)</f>
        <v>1.1999999999999999E-3</v>
      </c>
      <c r="G17" s="245"/>
      <c r="H17" s="245"/>
      <c r="I17" s="245"/>
      <c r="J17" s="245"/>
      <c r="K17" s="245"/>
      <c r="L17" s="245"/>
      <c r="M17" s="245"/>
    </row>
    <row r="18" spans="1:44" s="182" customFormat="1">
      <c r="A18" s="327"/>
      <c r="B18" s="404">
        <v>38</v>
      </c>
      <c r="C18" s="405">
        <f>VLOOKUP($B18, 'Environmental Factors'!$B$6:$F$73, 2, FALSE)</f>
        <v>284.79219999999998</v>
      </c>
      <c r="D18" s="405">
        <f>VLOOKUP($B18, 'Environmental Factors'!$B$6:$F$73, 3, FALSE)</f>
        <v>6.5600000000000006E-2</v>
      </c>
      <c r="E18" s="405">
        <f>VLOOKUP($B18, 'Environmental Factors'!$B$6:$F$73, 4, FALSE)</f>
        <v>2.8E-3</v>
      </c>
      <c r="F18" s="405">
        <f>VLOOKUP($B18, 'Environmental Factors'!$B$6:$F$73, 5, FALSE)</f>
        <v>1.1000000000000001E-3</v>
      </c>
      <c r="G18" s="245"/>
      <c r="H18" s="245"/>
      <c r="I18" s="245"/>
      <c r="J18" s="245"/>
      <c r="K18" s="245"/>
      <c r="L18" s="245"/>
      <c r="M18" s="245"/>
    </row>
    <row r="19" spans="1:44" s="182" customFormat="1">
      <c r="A19" s="327"/>
      <c r="B19" s="404">
        <v>39</v>
      </c>
      <c r="C19" s="405">
        <f>VLOOKUP($B19, 'Environmental Factors'!$B$6:$F$73, 2, FALSE)</f>
        <v>283.60210000000001</v>
      </c>
      <c r="D19" s="405">
        <f>VLOOKUP($B19, 'Environmental Factors'!$B$6:$F$73, 3, FALSE)</f>
        <v>6.5299999999999997E-2</v>
      </c>
      <c r="E19" s="405">
        <f>VLOOKUP($B19, 'Environmental Factors'!$B$6:$F$73, 4, FALSE)</f>
        <v>2.8E-3</v>
      </c>
      <c r="F19" s="405">
        <f>VLOOKUP($B19, 'Environmental Factors'!$B$6:$F$73, 5, FALSE)</f>
        <v>1.1000000000000001E-3</v>
      </c>
      <c r="G19" s="245"/>
      <c r="H19" s="245"/>
      <c r="I19" s="245"/>
      <c r="J19" s="245"/>
      <c r="K19" s="245"/>
      <c r="L19" s="245"/>
      <c r="M19" s="245"/>
    </row>
    <row r="20" spans="1:44" ht="43.8">
      <c r="A20" s="401" t="s">
        <v>26</v>
      </c>
      <c r="B20" s="401" t="s">
        <v>19</v>
      </c>
      <c r="C20" s="401" t="s">
        <v>27</v>
      </c>
      <c r="D20" s="401" t="s">
        <v>28</v>
      </c>
      <c r="E20" s="401" t="s">
        <v>29</v>
      </c>
      <c r="F20" s="401" t="s">
        <v>30</v>
      </c>
      <c r="G20" s="245"/>
      <c r="H20" s="245"/>
      <c r="I20" s="9" t="s">
        <v>163</v>
      </c>
      <c r="J20" s="245" t="s">
        <v>77</v>
      </c>
      <c r="K20" s="245"/>
      <c r="L20" s="245"/>
      <c r="M20" s="245"/>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row>
    <row r="21" spans="1:44">
      <c r="A21" s="404" t="s">
        <v>13</v>
      </c>
      <c r="B21" s="404">
        <v>26</v>
      </c>
      <c r="C21" s="405">
        <f>VLOOKUP($B21, 'Environmental Factors'!$B$76:$F$143, C$4, FALSE)</f>
        <v>974.59040000000005</v>
      </c>
      <c r="D21" s="405">
        <f>VLOOKUP($B21, 'Environmental Factors'!$B$76:$F$143, D$4, FALSE)</f>
        <v>1.3491</v>
      </c>
      <c r="E21" s="405">
        <f>VLOOKUP($B21, 'Environmental Factors'!$B$76:$F$143, E$4, FALSE)</f>
        <v>9.1999999999999998E-3</v>
      </c>
      <c r="F21" s="405">
        <f>VLOOKUP($B21, 'Environmental Factors'!$B$76:$F$143, F$4, FALSE)</f>
        <v>1.7999999999999999E-2</v>
      </c>
      <c r="G21" s="245"/>
      <c r="H21" s="245"/>
      <c r="I21" s="245"/>
      <c r="J21" s="402">
        <v>-2.5415256562974262E-2</v>
      </c>
      <c r="K21" s="402">
        <v>-5.3046722178531319E-2</v>
      </c>
      <c r="L21" s="402">
        <v>-2.5791116047280446E-2</v>
      </c>
      <c r="M21" s="402">
        <v>-5.9992254864832256E-2</v>
      </c>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row>
    <row r="22" spans="1:44" s="182" customFormat="1">
      <c r="A22" s="404"/>
      <c r="B22" s="404">
        <v>27</v>
      </c>
      <c r="C22" s="405">
        <f>VLOOKUP($B22, 'Environmental Factors'!$B$76:$F$143, C$4, FALSE)</f>
        <v>964.83190000000002</v>
      </c>
      <c r="D22" s="405">
        <f>VLOOKUP($B22, 'Environmental Factors'!$B$76:$F$143, D$4, FALSE)</f>
        <v>1.3216000000000001</v>
      </c>
      <c r="E22" s="405">
        <f>VLOOKUP($B22, 'Environmental Factors'!$B$76:$F$143, E$4, FALSE)</f>
        <v>9.1000000000000004E-3</v>
      </c>
      <c r="F22" s="405">
        <f>VLOOKUP($B22, 'Environmental Factors'!$B$76:$F$143, F$4, FALSE)</f>
        <v>1.7000000000000001E-2</v>
      </c>
      <c r="G22" s="245"/>
      <c r="H22" s="245"/>
      <c r="I22" s="245"/>
      <c r="J22" s="402"/>
      <c r="K22" s="402"/>
      <c r="L22" s="402"/>
      <c r="M22" s="402"/>
    </row>
    <row r="23" spans="1:44" s="182" customFormat="1" ht="15.6">
      <c r="A23" s="404"/>
      <c r="B23" s="404">
        <v>28</v>
      </c>
      <c r="C23" s="405">
        <f>VLOOKUP($B23, 'Environmental Factors'!$B$76:$F$143, C$4, FALSE)</f>
        <v>955.1712</v>
      </c>
      <c r="D23" s="405">
        <f>VLOOKUP($B23, 'Environmental Factors'!$B$76:$F$143, D$4, FALSE)</f>
        <v>1.2948</v>
      </c>
      <c r="E23" s="405">
        <f>VLOOKUP($B23, 'Environmental Factors'!$B$76:$F$143, E$4, FALSE)</f>
        <v>8.9999999999999993E-3</v>
      </c>
      <c r="F23" s="405">
        <f>VLOOKUP($B23, 'Environmental Factors'!$B$76:$F$143, F$4, FALSE)</f>
        <v>1.61E-2</v>
      </c>
      <c r="G23" s="245"/>
      <c r="H23" s="245"/>
      <c r="I23" s="327"/>
      <c r="J23" s="401" t="s">
        <v>27</v>
      </c>
      <c r="K23" s="401" t="s">
        <v>28</v>
      </c>
      <c r="L23" s="401" t="s">
        <v>29</v>
      </c>
      <c r="M23" s="401" t="s">
        <v>30</v>
      </c>
    </row>
    <row r="24" spans="1:44" s="34" customFormat="1">
      <c r="A24" s="404"/>
      <c r="B24" s="404">
        <v>29</v>
      </c>
      <c r="C24" s="405">
        <f>VLOOKUP($B24, 'Environmental Factors'!$B$76:$F$143, C$4, FALSE)</f>
        <v>945.60720000000003</v>
      </c>
      <c r="D24" s="405">
        <f>VLOOKUP($B24, 'Environmental Factors'!$B$76:$F$143, D$4, FALSE)</f>
        <v>1.2684</v>
      </c>
      <c r="E24" s="405">
        <f>VLOOKUP($B24, 'Environmental Factors'!$B$76:$F$143, E$4, FALSE)</f>
        <v>8.8999999999999999E-3</v>
      </c>
      <c r="F24" s="405">
        <f>VLOOKUP($B24, 'Environmental Factors'!$B$76:$F$143, F$4, FALSE)</f>
        <v>1.52E-2</v>
      </c>
      <c r="G24" s="245"/>
      <c r="H24" s="245"/>
      <c r="I24" s="404">
        <v>2025</v>
      </c>
      <c r="J24" s="406">
        <v>0.97458474343702572</v>
      </c>
      <c r="K24" s="406">
        <v>0.94695327782146865</v>
      </c>
      <c r="L24" s="406">
        <v>0.97420888395271954</v>
      </c>
      <c r="M24" s="406">
        <v>0.94000774513516772</v>
      </c>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row>
    <row r="25" spans="1:44" s="34" customFormat="1">
      <c r="A25" s="404"/>
      <c r="B25" s="404">
        <v>30</v>
      </c>
      <c r="C25" s="405">
        <f>VLOOKUP($B25, 'Environmental Factors'!$B$76:$F$143, C$4, FALSE)</f>
        <v>936.13890000000004</v>
      </c>
      <c r="D25" s="405">
        <f>VLOOKUP($B25, 'Environmental Factors'!$B$76:$F$143, D$4, FALSE)</f>
        <v>1.2425999999999999</v>
      </c>
      <c r="E25" s="405">
        <f>VLOOKUP($B25, 'Environmental Factors'!$B$76:$F$143, E$4, FALSE)</f>
        <v>8.8000000000000005E-3</v>
      </c>
      <c r="F25" s="405">
        <f>VLOOKUP($B25, 'Environmental Factors'!$B$76:$F$143, F$4, FALSE)</f>
        <v>1.44E-2</v>
      </c>
      <c r="G25" s="245"/>
      <c r="H25" s="245"/>
      <c r="I25" s="404">
        <v>2026</v>
      </c>
      <c r="J25" s="406">
        <v>0.94981542214021331</v>
      </c>
      <c r="K25" s="406">
        <v>0.89672051037682354</v>
      </c>
      <c r="L25" s="406">
        <v>0.94908294957240336</v>
      </c>
      <c r="M25" s="406">
        <v>0.8836145609141024</v>
      </c>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row>
    <row r="26" spans="1:44" s="34" customFormat="1">
      <c r="A26" s="404"/>
      <c r="B26" s="404">
        <v>31</v>
      </c>
      <c r="C26" s="405">
        <f>VLOOKUP($B26, 'Environmental Factors'!$B$76:$F$143, C$4, FALSE)</f>
        <v>941.27160000000003</v>
      </c>
      <c r="D26" s="405">
        <f>VLOOKUP($B26, 'Environmental Factors'!$B$76:$F$143, D$4, FALSE)</f>
        <v>1.2298</v>
      </c>
      <c r="E26" s="405">
        <f>VLOOKUP($B26, 'Environmental Factors'!$B$76:$F$143, E$4, FALSE)</f>
        <v>8.8999999999999999E-3</v>
      </c>
      <c r="F26" s="405">
        <f>VLOOKUP($B26, 'Environmental Factors'!$B$76:$F$143, F$4, FALSE)</f>
        <v>1.37E-2</v>
      </c>
      <c r="G26" s="245"/>
      <c r="H26" s="245"/>
      <c r="I26" s="404">
        <v>2027</v>
      </c>
      <c r="J26" s="406">
        <v>0.92567561949905008</v>
      </c>
      <c r="K26" s="406">
        <v>0.84915242659107337</v>
      </c>
      <c r="L26" s="406">
        <v>0.92460504108148622</v>
      </c>
      <c r="M26" s="406">
        <v>0.83060453097346665</v>
      </c>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row>
    <row r="27" spans="1:44" s="34" customFormat="1">
      <c r="A27" s="404"/>
      <c r="B27" s="404">
        <v>32</v>
      </c>
      <c r="C27" s="405">
        <f>VLOOKUP($B27, 'Environmental Factors'!$B$76:$F$143, C$4, FALSE)</f>
        <v>946.43230000000005</v>
      </c>
      <c r="D27" s="405">
        <f>VLOOKUP($B27, 'Environmental Factors'!$B$76:$F$143, D$4, FALSE)</f>
        <v>1.2171000000000001</v>
      </c>
      <c r="E27" s="405">
        <f>VLOOKUP($B27, 'Environmental Factors'!$B$76:$F$143, E$4, FALSE)</f>
        <v>8.8999999999999999E-3</v>
      </c>
      <c r="F27" s="405">
        <f>VLOOKUP($B27, 'Environmental Factors'!$B$76:$F$143, F$4, FALSE)</f>
        <v>1.3100000000000001E-2</v>
      </c>
      <c r="G27" s="245"/>
      <c r="H27" s="245"/>
      <c r="I27" s="404">
        <v>2028</v>
      </c>
      <c r="J27" s="406">
        <v>0.90214933613539161</v>
      </c>
      <c r="K27" s="406">
        <v>0.80410767373047098</v>
      </c>
      <c r="L27" s="406">
        <v>0.90075844516905312</v>
      </c>
      <c r="M27" s="406">
        <v>0.78077469225942198</v>
      </c>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row>
    <row r="28" spans="1:44" s="34" customFormat="1">
      <c r="A28" s="404"/>
      <c r="B28" s="404">
        <v>33</v>
      </c>
      <c r="C28" s="405">
        <f>VLOOKUP($B28, 'Environmental Factors'!$B$76:$F$143, C$4, FALSE)</f>
        <v>951.62139999999999</v>
      </c>
      <c r="D28" s="405">
        <f>VLOOKUP($B28, 'Environmental Factors'!$B$76:$F$143, D$4, FALSE)</f>
        <v>1.2045999999999999</v>
      </c>
      <c r="E28" s="405">
        <f>VLOOKUP($B28, 'Environmental Factors'!$B$76:$F$143, E$4, FALSE)</f>
        <v>8.8999999999999999E-3</v>
      </c>
      <c r="F28" s="405">
        <f>VLOOKUP($B28, 'Environmental Factors'!$B$76:$F$143, F$4, FALSE)</f>
        <v>1.26E-2</v>
      </c>
      <c r="G28" s="245"/>
      <c r="H28" s="245"/>
      <c r="I28" s="404">
        <v>2029</v>
      </c>
      <c r="J28" s="406">
        <v>0.87922097929939369</v>
      </c>
      <c r="K28" s="406">
        <v>0.76145239736046555</v>
      </c>
      <c r="L28" s="406">
        <v>0.87752687957913011</v>
      </c>
      <c r="M28" s="406">
        <v>0.73393425792938372</v>
      </c>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row>
    <row r="29" spans="1:44" s="34" customFormat="1">
      <c r="A29" s="404"/>
      <c r="B29" s="404">
        <v>34</v>
      </c>
      <c r="C29" s="405">
        <f>VLOOKUP($B29, 'Environmental Factors'!$B$76:$F$143, C$4, FALSE)</f>
        <v>956.83889999999997</v>
      </c>
      <c r="D29" s="405">
        <f>VLOOKUP($B29, 'Environmental Factors'!$B$76:$F$143, D$4, FALSE)</f>
        <v>1.1920999999999999</v>
      </c>
      <c r="E29" s="405">
        <f>VLOOKUP($B29, 'Environmental Factors'!$B$76:$F$143, E$4, FALSE)</f>
        <v>8.9999999999999993E-3</v>
      </c>
      <c r="F29" s="405">
        <f>VLOOKUP($B29, 'Environmental Factors'!$B$76:$F$143, F$4, FALSE)</f>
        <v>1.2E-2</v>
      </c>
      <c r="G29" s="245"/>
      <c r="H29" s="245"/>
      <c r="I29" s="245"/>
      <c r="J29" s="245"/>
      <c r="K29" s="245"/>
      <c r="L29" s="245"/>
      <c r="M29" s="245"/>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row>
    <row r="30" spans="1:44" s="34" customFormat="1">
      <c r="A30" s="404"/>
      <c r="B30" s="404">
        <v>35</v>
      </c>
      <c r="C30" s="405">
        <f>VLOOKUP($B30, 'Environmental Factors'!$B$76:$F$143, C$4, FALSE)</f>
        <v>962.08500000000004</v>
      </c>
      <c r="D30" s="405">
        <f>VLOOKUP($B30, 'Environmental Factors'!$B$76:$F$143, D$4, FALSE)</f>
        <v>1.1798</v>
      </c>
      <c r="E30" s="405">
        <f>VLOOKUP($B30, 'Environmental Factors'!$B$76:$F$143, E$4, FALSE)</f>
        <v>8.9999999999999993E-3</v>
      </c>
      <c r="F30" s="405">
        <f>VLOOKUP($B30, 'Environmental Factors'!$B$76:$F$143, F$4, FALSE)</f>
        <v>1.15E-2</v>
      </c>
      <c r="G30" s="245"/>
      <c r="H30" s="245"/>
      <c r="I30" s="245"/>
      <c r="J30" s="245"/>
      <c r="K30" s="245"/>
      <c r="L30" s="245"/>
      <c r="M30" s="245"/>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row>
    <row r="31" spans="1:44" s="34" customFormat="1">
      <c r="A31" s="404"/>
      <c r="B31" s="404">
        <v>36</v>
      </c>
      <c r="C31" s="405">
        <f>VLOOKUP($B31, 'Environmental Factors'!$B$76:$F$143, C$4, FALSE)</f>
        <v>967.41949999999997</v>
      </c>
      <c r="D31" s="405">
        <f>VLOOKUP($B31, 'Environmental Factors'!$B$76:$F$143, D$4, FALSE)</f>
        <v>1.1662999999999999</v>
      </c>
      <c r="E31" s="405">
        <f>VLOOKUP($B31, 'Environmental Factors'!$B$76:$F$143, E$4, FALSE)</f>
        <v>9.1000000000000004E-3</v>
      </c>
      <c r="F31" s="405">
        <f>VLOOKUP($B31, 'Environmental Factors'!$B$76:$F$143, F$4, FALSE)</f>
        <v>1.1299999999999999E-2</v>
      </c>
      <c r="G31" s="245"/>
      <c r="H31" s="245"/>
      <c r="I31" s="245"/>
      <c r="J31" s="245"/>
      <c r="K31" s="245"/>
      <c r="L31" s="245"/>
      <c r="M31" s="245"/>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row>
    <row r="32" spans="1:44" s="34" customFormat="1">
      <c r="A32" s="404"/>
      <c r="B32" s="404">
        <v>37</v>
      </c>
      <c r="C32" s="405">
        <f>VLOOKUP($B32, 'Environmental Factors'!$B$76:$F$143, C$4, FALSE)</f>
        <v>972.78359999999998</v>
      </c>
      <c r="D32" s="405">
        <f>VLOOKUP($B32, 'Environmental Factors'!$B$76:$F$143, D$4, FALSE)</f>
        <v>1.1529</v>
      </c>
      <c r="E32" s="405">
        <f>VLOOKUP($B32, 'Environmental Factors'!$B$76:$F$143, E$4, FALSE)</f>
        <v>9.1000000000000004E-3</v>
      </c>
      <c r="F32" s="405">
        <f>VLOOKUP($B32, 'Environmental Factors'!$B$76:$F$143, F$4, FALSE)</f>
        <v>1.0999999999999999E-2</v>
      </c>
      <c r="G32" s="245"/>
      <c r="H32" s="245"/>
      <c r="I32" s="245"/>
      <c r="J32" s="245"/>
      <c r="K32" s="245"/>
      <c r="L32" s="245"/>
      <c r="M32" s="245"/>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row>
    <row r="33" spans="1:44" s="34" customFormat="1">
      <c r="A33" s="404"/>
      <c r="B33" s="404">
        <v>38</v>
      </c>
      <c r="C33" s="405">
        <f>VLOOKUP($B33, 'Environmental Factors'!$B$76:$F$143, C$4, FALSE)</f>
        <v>978.17750000000001</v>
      </c>
      <c r="D33" s="405">
        <f>VLOOKUP($B33, 'Environmental Factors'!$B$76:$F$143, D$4, FALSE)</f>
        <v>1.1395999999999999</v>
      </c>
      <c r="E33" s="405">
        <f>VLOOKUP($B33, 'Environmental Factors'!$B$76:$F$143, E$4, FALSE)</f>
        <v>9.1000000000000004E-3</v>
      </c>
      <c r="F33" s="405">
        <f>VLOOKUP($B33, 'Environmental Factors'!$B$76:$F$143, F$4, FALSE)</f>
        <v>1.0800000000000001E-2</v>
      </c>
      <c r="G33" s="245"/>
      <c r="H33" s="245"/>
      <c r="I33" s="245"/>
      <c r="J33" s="245"/>
      <c r="K33" s="245"/>
      <c r="L33" s="245"/>
      <c r="M33" s="245"/>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row>
    <row r="34" spans="1:44" s="34" customFormat="1">
      <c r="A34" s="404"/>
      <c r="B34" s="404">
        <v>39</v>
      </c>
      <c r="C34" s="405">
        <f>VLOOKUP($B34, 'Environmental Factors'!$B$76:$F$143, C$4, FALSE)</f>
        <v>983.60130000000004</v>
      </c>
      <c r="D34" s="405">
        <f>VLOOKUP($B34, 'Environmental Factors'!$B$76:$F$143, D$4, FALSE)</f>
        <v>1.1266</v>
      </c>
      <c r="E34" s="405">
        <f>VLOOKUP($B34, 'Environmental Factors'!$B$76:$F$143, E$4, FALSE)</f>
        <v>9.1999999999999998E-3</v>
      </c>
      <c r="F34" s="405">
        <f>VLOOKUP($B34, 'Environmental Factors'!$B$76:$F$143, F$4, FALSE)</f>
        <v>1.06E-2</v>
      </c>
      <c r="G34" s="245"/>
      <c r="H34" s="245"/>
      <c r="I34" s="245"/>
      <c r="J34" s="245"/>
      <c r="K34" s="245"/>
      <c r="L34" s="245"/>
      <c r="M34" s="245"/>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row>
    <row r="35" spans="1:44" s="34" customFormat="1">
      <c r="A35" s="400"/>
      <c r="B35" s="400"/>
      <c r="C35" s="403"/>
      <c r="D35" s="403"/>
      <c r="E35" s="403"/>
      <c r="F35" s="403"/>
      <c r="G35" s="245"/>
      <c r="H35" s="245"/>
      <c r="I35" s="245"/>
      <c r="J35" s="245"/>
      <c r="K35" s="245"/>
      <c r="L35" s="245"/>
      <c r="M35" s="245"/>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row>
    <row r="36" spans="1:44">
      <c r="B36" s="245"/>
      <c r="C36" s="245"/>
      <c r="D36" s="245"/>
      <c r="E36" s="245"/>
      <c r="F36" s="245"/>
      <c r="G36" s="245"/>
      <c r="H36" s="245"/>
      <c r="I36" s="245"/>
      <c r="J36" s="245"/>
      <c r="K36" s="245"/>
      <c r="L36" s="245"/>
      <c r="M36" s="245"/>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row>
    <row r="37" spans="1:44" ht="43.8">
      <c r="A37" s="407" t="s">
        <v>163</v>
      </c>
      <c r="B37" s="401" t="s">
        <v>31</v>
      </c>
      <c r="C37" s="401" t="s">
        <v>27</v>
      </c>
      <c r="D37" s="401" t="s">
        <v>28</v>
      </c>
      <c r="E37" s="401" t="s">
        <v>29</v>
      </c>
      <c r="F37" s="401" t="s">
        <v>30</v>
      </c>
      <c r="G37" s="182"/>
      <c r="J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row>
    <row r="38" spans="1:44" s="182" customFormat="1">
      <c r="A38" s="138">
        <v>2025</v>
      </c>
      <c r="B38" s="138"/>
      <c r="C38" s="408">
        <v>0.98826815691091541</v>
      </c>
      <c r="D38" s="408">
        <v>0.94553516785838743</v>
      </c>
      <c r="E38" s="408">
        <v>0.98817124248006405</v>
      </c>
      <c r="F38" s="408">
        <v>0.94921856283932105</v>
      </c>
    </row>
    <row r="39" spans="1:44" s="182" customFormat="1">
      <c r="A39" s="138">
        <v>2026</v>
      </c>
      <c r="B39" s="138"/>
      <c r="C39" s="408">
        <f t="shared" ref="C39:C42" si="0">C38*(1+J$4)</f>
        <v>0.97667394996409773</v>
      </c>
      <c r="D39" s="408">
        <f t="shared" ref="D39:D42" si="1">D38*(1+K$4)</f>
        <v>0.89403675365698887</v>
      </c>
      <c r="E39" s="408">
        <f t="shared" ref="E39:E42" si="2">E38*(1+L$4)</f>
        <v>0.97648240446459356</v>
      </c>
      <c r="F39" s="408">
        <f t="shared" ref="F39:F42" si="3">F38*(1+M$4)</f>
        <v>0.90101588003874611</v>
      </c>
    </row>
    <row r="40" spans="1:44" s="182" customFormat="1">
      <c r="A40" s="138">
        <v>2027</v>
      </c>
      <c r="B40" s="138"/>
      <c r="C40" s="408">
        <f t="shared" si="0"/>
        <v>0.96521576443392243</v>
      </c>
      <c r="D40" s="408">
        <f t="shared" si="1"/>
        <v>0.84534319194062879</v>
      </c>
      <c r="E40" s="408">
        <f t="shared" si="2"/>
        <v>0.9649318308796978</v>
      </c>
      <c r="F40" s="408">
        <f t="shared" si="3"/>
        <v>0.85526099874578465</v>
      </c>
    </row>
    <row r="41" spans="1:44" s="182" customFormat="1">
      <c r="A41" s="138">
        <v>2028</v>
      </c>
      <c r="B41" s="138"/>
      <c r="C41" s="408">
        <f t="shared" si="0"/>
        <v>0.95389200453847278</v>
      </c>
      <c r="D41" s="408">
        <f t="shared" si="1"/>
        <v>0.79930171688952745</v>
      </c>
      <c r="E41" s="408">
        <f t="shared" si="2"/>
        <v>0.95351788622895406</v>
      </c>
      <c r="F41" s="408">
        <f t="shared" si="3"/>
        <v>0.81182961608199611</v>
      </c>
    </row>
    <row r="42" spans="1:44">
      <c r="A42" s="138">
        <v>2029</v>
      </c>
      <c r="B42" s="138"/>
      <c r="C42" s="408">
        <f t="shared" si="0"/>
        <v>0.94270109321729501</v>
      </c>
      <c r="D42" s="408">
        <f t="shared" si="1"/>
        <v>0.75576788304863662</v>
      </c>
      <c r="E42" s="408">
        <f t="shared" si="2"/>
        <v>0.94223895436182992</v>
      </c>
      <c r="F42" s="408">
        <f t="shared" si="3"/>
        <v>0.77060374144775012</v>
      </c>
      <c r="G42" s="182"/>
      <c r="J42" s="182"/>
    </row>
    <row r="43" spans="1:44">
      <c r="A43" s="138">
        <v>2030</v>
      </c>
      <c r="B43" s="138"/>
      <c r="C43" s="408">
        <f t="shared" ref="C43:C71" si="4">C42*(1+J$4)</f>
        <v>0.93164147191176117</v>
      </c>
      <c r="D43" s="408">
        <f t="shared" ref="D43:D71" si="5">D42*(1+K$4)</f>
        <v>0.7146051121603707</v>
      </c>
      <c r="E43" s="408">
        <f t="shared" ref="E43:E71" si="6">E42*(1+L$4)</f>
        <v>0.93109343824484581</v>
      </c>
      <c r="F43" s="408">
        <f t="shared" ref="F43:F71" si="7">F42*(1+M$4)</f>
        <v>0.73147137597563716</v>
      </c>
      <c r="G43" s="182"/>
      <c r="J43" s="182"/>
    </row>
    <row r="44" spans="1:44">
      <c r="A44" s="138">
        <f>A43+1</f>
        <v>2031</v>
      </c>
      <c r="B44" s="138"/>
      <c r="C44" s="408">
        <f t="shared" si="4"/>
        <v>0.92071160034800859</v>
      </c>
      <c r="D44" s="408">
        <f t="shared" si="5"/>
        <v>0.67568426467901788</v>
      </c>
      <c r="E44" s="408">
        <f t="shared" si="6"/>
        <v>0.92007975973544409</v>
      </c>
      <c r="F44" s="408">
        <f t="shared" si="7"/>
        <v>0.694326208261695</v>
      </c>
      <c r="G44" s="182"/>
      <c r="J44" s="182"/>
    </row>
    <row r="45" spans="1:44">
      <c r="A45" s="138">
        <f t="shared" ref="A45:A61" si="8">A44+1</f>
        <v>2032</v>
      </c>
      <c r="B45" s="138"/>
      <c r="C45" s="408">
        <f t="shared" si="4"/>
        <v>0.90990995632242577</v>
      </c>
      <c r="D45" s="408">
        <f t="shared" si="5"/>
        <v>0.63888323462254626</v>
      </c>
      <c r="E45" s="408">
        <f t="shared" si="6"/>
        <v>0.9091963593585326</v>
      </c>
      <c r="F45" s="408">
        <f t="shared" si="7"/>
        <v>0.6590673255478412</v>
      </c>
      <c r="G45" s="182"/>
      <c r="J45" s="182"/>
    </row>
    <row r="46" spans="1:44">
      <c r="A46" s="138">
        <f t="shared" si="8"/>
        <v>2033</v>
      </c>
      <c r="B46" s="138"/>
      <c r="C46" s="408">
        <f t="shared" si="4"/>
        <v>0.89923503548965522</v>
      </c>
      <c r="D46" s="408">
        <f t="shared" si="5"/>
        <v>0.60408656649073877</v>
      </c>
      <c r="E46" s="408">
        <f t="shared" si="6"/>
        <v>0.89844169608567193</v>
      </c>
      <c r="F46" s="408">
        <f t="shared" si="7"/>
        <v>0.62559893957087676</v>
      </c>
      <c r="G46" s="182"/>
      <c r="J46" s="182"/>
    </row>
    <row r="47" spans="1:44">
      <c r="A47" s="138">
        <f t="shared" si="8"/>
        <v>2034</v>
      </c>
      <c r="B47" s="138"/>
      <c r="C47" s="408">
        <f t="shared" si="4"/>
        <v>0.88868535115308323</v>
      </c>
      <c r="D47" s="408">
        <f t="shared" si="5"/>
        <v>0.57118509304781762</v>
      </c>
      <c r="E47" s="408">
        <f t="shared" si="6"/>
        <v>0.88781424711687451</v>
      </c>
      <c r="F47" s="408">
        <f t="shared" si="7"/>
        <v>0.59383012633327092</v>
      </c>
      <c r="G47" s="182"/>
      <c r="J47" s="182"/>
    </row>
    <row r="48" spans="1:44">
      <c r="A48" s="138">
        <f t="shared" si="8"/>
        <v>2035</v>
      </c>
      <c r="B48" s="138"/>
      <c r="C48" s="408">
        <f t="shared" si="4"/>
        <v>0.87825943405778717</v>
      </c>
      <c r="D48" s="408">
        <f t="shared" si="5"/>
        <v>0.54007559283317685</v>
      </c>
      <c r="E48" s="408">
        <f t="shared" si="6"/>
        <v>0.87731250766498448</v>
      </c>
      <c r="F48" s="408">
        <f t="shared" si="7"/>
        <v>0.56367457908875984</v>
      </c>
      <c r="G48" s="182"/>
      <c r="J48" s="182"/>
    </row>
    <row r="49" spans="1:10">
      <c r="A49" s="138">
        <f t="shared" si="8"/>
        <v>2036</v>
      </c>
      <c r="B49" s="138"/>
      <c r="C49" s="408">
        <f t="shared" si="4"/>
        <v>0.86795583218591299</v>
      </c>
      <c r="D49" s="408">
        <f t="shared" si="5"/>
        <v>0.51066046632573603</v>
      </c>
      <c r="E49" s="408">
        <f t="shared" si="6"/>
        <v>0.86693499074260838</v>
      </c>
      <c r="F49" s="408">
        <f t="shared" si="7"/>
        <v>0.53505037387169185</v>
      </c>
      <c r="G49" s="182"/>
      <c r="J49" s="182"/>
    </row>
    <row r="50" spans="1:10">
      <c r="A50" s="138">
        <f t="shared" si="8"/>
        <v>2037</v>
      </c>
      <c r="B50" s="138"/>
      <c r="C50" s="408">
        <f t="shared" si="4"/>
        <v>0.85777311055445205</v>
      </c>
      <c r="D50" s="408">
        <f t="shared" si="5"/>
        <v>0.48284742974594724</v>
      </c>
      <c r="E50" s="408">
        <f t="shared" si="6"/>
        <v>0.85668022695156609</v>
      </c>
      <c r="F50" s="408">
        <f t="shared" si="7"/>
        <v>0.50787974693312876</v>
      </c>
      <c r="G50" s="182"/>
      <c r="J50" s="182"/>
    </row>
    <row r="51" spans="1:10">
      <c r="A51" s="138">
        <f t="shared" si="8"/>
        <v>2038</v>
      </c>
      <c r="B51" s="138"/>
      <c r="C51" s="408">
        <f t="shared" si="4"/>
        <v>0.8477098510153912</v>
      </c>
      <c r="D51" s="408">
        <f t="shared" si="5"/>
        <v>0.45654922553482513</v>
      </c>
      <c r="E51" s="408">
        <f t="shared" si="6"/>
        <v>0.84654676427483233</v>
      </c>
      <c r="F51" s="408">
        <f t="shared" si="7"/>
        <v>0.48208888347906254</v>
      </c>
      <c r="G51" s="182"/>
      <c r="J51" s="182"/>
    </row>
    <row r="52" spans="1:10">
      <c r="A52" s="138">
        <f t="shared" si="8"/>
        <v>2039</v>
      </c>
      <c r="B52" s="138"/>
      <c r="C52" s="408">
        <f t="shared" si="4"/>
        <v>0.83776465205820738</v>
      </c>
      <c r="D52" s="408">
        <f t="shared" si="5"/>
        <v>0.43168334860168767</v>
      </c>
      <c r="E52" s="408">
        <f t="shared" si="6"/>
        <v>0.83653316787093901</v>
      </c>
      <c r="F52" s="408">
        <f t="shared" si="7"/>
        <v>0.45760771713680864</v>
      </c>
      <c r="G52" s="182"/>
      <c r="J52" s="182"/>
    </row>
    <row r="53" spans="1:10">
      <c r="A53" s="138">
        <f t="shared" si="8"/>
        <v>2040</v>
      </c>
      <c r="B53" s="138"/>
      <c r="C53" s="408">
        <f t="shared" si="4"/>
        <v>0.82793612861467891</v>
      </c>
      <c r="D53" s="408">
        <f t="shared" si="5"/>
        <v>0.40817178748176752</v>
      </c>
      <c r="E53" s="408">
        <f t="shared" si="6"/>
        <v>0.82663801987080976</v>
      </c>
      <c r="F53" s="408">
        <f t="shared" si="7"/>
        <v>0.43436973960478403</v>
      </c>
      <c r="G53" s="182"/>
      <c r="J53" s="182"/>
    </row>
    <row r="54" spans="1:10">
      <c r="A54" s="138">
        <f t="shared" si="8"/>
        <v>2041</v>
      </c>
      <c r="B54" s="138"/>
      <c r="C54" s="408">
        <f t="shared" si="4"/>
        <v>0.81822291186598739</v>
      </c>
      <c r="D54" s="408">
        <f t="shared" si="5"/>
        <v>0.38594077959163109</v>
      </c>
      <c r="E54" s="408">
        <f t="shared" si="6"/>
        <v>0.81685991917699796</v>
      </c>
      <c r="F54" s="408">
        <f t="shared" si="7"/>
        <v>0.41231181996854321</v>
      </c>
      <c r="G54" s="182"/>
      <c r="J54" s="182"/>
    </row>
    <row r="55" spans="1:10">
      <c r="A55" s="138">
        <f t="shared" si="8"/>
        <v>2042</v>
      </c>
      <c r="B55" s="138"/>
      <c r="C55" s="408">
        <f t="shared" si="4"/>
        <v>0.80862364905208173</v>
      </c>
      <c r="D55" s="408">
        <f t="shared" si="5"/>
        <v>0.36492057981456982</v>
      </c>
      <c r="E55" s="408">
        <f t="shared" si="6"/>
        <v>0.80719748126529878</v>
      </c>
      <c r="F55" s="408">
        <f t="shared" si="7"/>
        <v>0.39137403319220548</v>
      </c>
      <c r="G55" s="182"/>
      <c r="J55" s="182"/>
    </row>
    <row r="56" spans="1:10">
      <c r="A56" s="138">
        <f t="shared" si="8"/>
        <v>2043</v>
      </c>
      <c r="B56" s="138"/>
      <c r="C56" s="408">
        <f t="shared" si="4"/>
        <v>0.79913700328327975</v>
      </c>
      <c r="D56" s="408">
        <f t="shared" si="5"/>
        <v>0.34504524168994932</v>
      </c>
      <c r="E56" s="408">
        <f t="shared" si="6"/>
        <v>0.79764933798870852</v>
      </c>
      <c r="F56" s="408">
        <f t="shared" si="7"/>
        <v>0.37149949731933402</v>
      </c>
      <c r="G56" s="182"/>
      <c r="J56" s="182"/>
    </row>
    <row r="57" spans="1:10">
      <c r="A57" s="138">
        <f t="shared" si="8"/>
        <v>2044</v>
      </c>
      <c r="B57" s="138"/>
      <c r="C57" s="408">
        <f t="shared" si="4"/>
        <v>0.789761653354079</v>
      </c>
      <c r="D57" s="408">
        <f t="shared" si="5"/>
        <v>0.32625241052004411</v>
      </c>
      <c r="E57" s="408">
        <f t="shared" si="6"/>
        <v>0.78821413738370261</v>
      </c>
      <c r="F57" s="408">
        <f t="shared" si="7"/>
        <v>0.35263421894098845</v>
      </c>
      <c r="G57" s="182"/>
      <c r="J57" s="182"/>
    </row>
    <row r="58" spans="1:10">
      <c r="A58" s="138">
        <f t="shared" si="8"/>
        <v>2045</v>
      </c>
      <c r="B58" s="138"/>
      <c r="C58" s="408">
        <f t="shared" si="4"/>
        <v>0.78049629355915295</v>
      </c>
      <c r="D58" s="408">
        <f t="shared" si="5"/>
        <v>0.30848312774527342</v>
      </c>
      <c r="E58" s="408">
        <f t="shared" si="6"/>
        <v>0.77889054347880526</v>
      </c>
      <c r="F58" s="408">
        <f t="shared" si="7"/>
        <v>0.33472694651113155</v>
      </c>
      <c r="G58" s="182"/>
      <c r="J58" s="182"/>
    </row>
    <row r="59" spans="1:10">
      <c r="A59" s="138">
        <f t="shared" si="8"/>
        <v>2046</v>
      </c>
      <c r="B59" s="138"/>
      <c r="C59" s="408">
        <f t="shared" si="4"/>
        <v>0.77133963351150492</v>
      </c>
      <c r="D59" s="408">
        <f t="shared" si="5"/>
        <v>0.29168164597410745</v>
      </c>
      <c r="E59" s="408">
        <f t="shared" si="6"/>
        <v>0.76967723610542338</v>
      </c>
      <c r="F59" s="408">
        <f t="shared" si="7"/>
        <v>0.31772903111089057</v>
      </c>
      <c r="G59" s="182"/>
      <c r="J59" s="182"/>
    </row>
    <row r="60" spans="1:10">
      <c r="A60" s="138">
        <f t="shared" si="8"/>
        <v>2047</v>
      </c>
      <c r="B60" s="138"/>
      <c r="C60" s="408">
        <f t="shared" si="4"/>
        <v>0.76229039796275588</v>
      </c>
      <c r="D60" s="408">
        <f t="shared" si="5"/>
        <v>0.2757952540873384</v>
      </c>
      <c r="E60" s="408">
        <f t="shared" si="6"/>
        <v>0.76057291071091782</v>
      </c>
      <c r="F60" s="408">
        <f t="shared" si="7"/>
        <v>0.30159429428340945</v>
      </c>
      <c r="G60" s="182"/>
      <c r="J60" s="182"/>
    </row>
    <row r="61" spans="1:10">
      <c r="A61" s="138">
        <f t="shared" si="8"/>
        <v>2048</v>
      </c>
      <c r="B61" s="138"/>
      <c r="C61" s="408">
        <f t="shared" si="4"/>
        <v>0.75334732662554094</v>
      </c>
      <c r="D61" s="408">
        <f t="shared" si="5"/>
        <v>0.26077411186801813</v>
      </c>
      <c r="E61" s="408">
        <f t="shared" si="6"/>
        <v>0.7515762781738865</v>
      </c>
      <c r="F61" s="408">
        <f t="shared" si="7"/>
        <v>0.28627890258023719</v>
      </c>
      <c r="G61" s="182"/>
      <c r="J61" s="182"/>
    </row>
    <row r="62" spans="1:10">
      <c r="A62" s="327">
        <v>2049</v>
      </c>
      <c r="B62" s="138"/>
      <c r="C62" s="408">
        <f t="shared" si="4"/>
        <v>0.74450917399798877</v>
      </c>
      <c r="D62" s="408">
        <f t="shared" si="5"/>
        <v>0.24657109363824842</v>
      </c>
      <c r="E62" s="408">
        <f t="shared" si="6"/>
        <v>0.74268606462163167</v>
      </c>
      <c r="F62" s="408">
        <f t="shared" si="7"/>
        <v>0.27174124847843073</v>
      </c>
      <c r="G62" s="182"/>
      <c r="J62" s="182"/>
    </row>
    <row r="63" spans="1:10">
      <c r="A63" s="138">
        <v>2050</v>
      </c>
      <c r="B63" s="138"/>
      <c r="C63" s="408">
        <f t="shared" si="4"/>
        <v>0.73577470919026033</v>
      </c>
      <c r="D63" s="408">
        <f t="shared" si="5"/>
        <v>0.23314164041226737</v>
      </c>
      <c r="E63" s="408">
        <f t="shared" si="6"/>
        <v>0.73390101124978691</v>
      </c>
      <c r="F63" s="408">
        <f t="shared" si="7"/>
        <v>0.25794183734485887</v>
      </c>
      <c r="G63" s="182"/>
      <c r="J63" s="182"/>
    </row>
    <row r="64" spans="1:10">
      <c r="A64" s="138">
        <v>2051</v>
      </c>
      <c r="B64" s="138"/>
      <c r="C64" s="408">
        <f t="shared" si="4"/>
        <v>0.72714271575312339</v>
      </c>
      <c r="D64" s="408">
        <f t="shared" si="5"/>
        <v>0.22044362010199303</v>
      </c>
      <c r="E64" s="408">
        <f t="shared" si="6"/>
        <v>0.7252198741440774</v>
      </c>
      <c r="F64" s="408">
        <f t="shared" si="7"/>
        <v>0.24484318014062084</v>
      </c>
      <c r="G64" s="182"/>
      <c r="J64" s="182"/>
    </row>
    <row r="65" spans="1:10">
      <c r="A65" s="138">
        <v>2052</v>
      </c>
      <c r="B65" s="138"/>
      <c r="C65" s="408">
        <f t="shared" si="4"/>
        <v>0.71861199150853694</v>
      </c>
      <c r="D65" s="408">
        <f t="shared" si="5"/>
        <v>0.20843719533644858</v>
      </c>
      <c r="E65" s="408">
        <f t="shared" si="6"/>
        <v>0.71664142410418863</v>
      </c>
      <c r="F65" s="408">
        <f t="shared" si="7"/>
        <v>0.23240969157408911</v>
      </c>
      <c r="G65" s="182"/>
      <c r="J65" s="182"/>
    </row>
    <row r="66" spans="1:10">
      <c r="A66" s="138">
        <v>2053</v>
      </c>
      <c r="B66" s="138"/>
      <c r="C66" s="408">
        <f t="shared" si="4"/>
        <v>0.71018134838222424</v>
      </c>
      <c r="D66" s="408">
        <f t="shared" si="5"/>
        <v>0.1970846984803804</v>
      </c>
      <c r="E66" s="408">
        <f t="shared" si="6"/>
        <v>0.70816444646971854</v>
      </c>
      <c r="F66" s="408">
        <f t="shared" si="7"/>
        <v>0.22060759342588673</v>
      </c>
      <c r="G66" s="182"/>
      <c r="J66" s="182"/>
    </row>
    <row r="67" spans="1:10">
      <c r="A67" s="138">
        <v>2054</v>
      </c>
      <c r="B67" s="138"/>
      <c r="C67" s="408">
        <f t="shared" si="4"/>
        <v>0.70184961223820952</v>
      </c>
      <c r="D67" s="408">
        <f t="shared" si="5"/>
        <v>0.18635051345996617</v>
      </c>
      <c r="E67" s="408">
        <f t="shared" si="6"/>
        <v>0.69978774094818863</v>
      </c>
      <c r="F67" s="408">
        <f t="shared" si="7"/>
        <v>0.20940482278316144</v>
      </c>
      <c r="G67" s="182"/>
      <c r="J67" s="182"/>
    </row>
    <row r="68" spans="1:10" hidden="1">
      <c r="A68" s="138">
        <v>2055</v>
      </c>
      <c r="B68" s="138"/>
      <c r="C68" s="408">
        <f t="shared" si="4"/>
        <v>0.69361562271529598</v>
      </c>
      <c r="D68" s="408">
        <f t="shared" si="5"/>
        <v>0.17620096402486579</v>
      </c>
      <c r="E68" s="408">
        <f t="shared" si="6"/>
        <v>0.69151012144508872</v>
      </c>
      <c r="F68" s="408">
        <f t="shared" si="7"/>
        <v>0.19877094493385522</v>
      </c>
      <c r="G68" s="182"/>
      <c r="J68" s="182"/>
    </row>
    <row r="69" spans="1:10" hidden="1">
      <c r="A69" s="138">
        <v>2056</v>
      </c>
      <c r="B69" s="138"/>
      <c r="C69" s="408">
        <f t="shared" si="4"/>
        <v>0.68547823306546241</v>
      </c>
      <c r="D69" s="408">
        <f t="shared" si="5"/>
        <v>0.16660420809606116</v>
      </c>
      <c r="E69" s="408">
        <f t="shared" si="6"/>
        <v>0.68333041589593335</v>
      </c>
      <c r="F69" s="408">
        <f t="shared" si="7"/>
        <v>0.18867707068432787</v>
      </c>
      <c r="G69" s="182"/>
      <c r="J69" s="182"/>
    </row>
    <row r="70" spans="1:10" hidden="1">
      <c r="A70" s="138">
        <v>2057</v>
      </c>
      <c r="B70" s="138"/>
      <c r="C70" s="408">
        <f t="shared" si="4"/>
        <v>0.67743630999415549</v>
      </c>
      <c r="D70" s="408">
        <f t="shared" si="5"/>
        <v>0.15753013786802289</v>
      </c>
      <c r="E70" s="408">
        <f t="shared" si="6"/>
        <v>0.6752474661003034</v>
      </c>
      <c r="F70" s="408">
        <f t="shared" si="7"/>
        <v>0.17909577787571071</v>
      </c>
      <c r="G70" s="182"/>
      <c r="J70" s="182"/>
    </row>
    <row r="71" spans="1:10" hidden="1">
      <c r="A71" s="138">
        <v>2058</v>
      </c>
      <c r="B71" s="138"/>
      <c r="C71" s="408">
        <f t="shared" si="4"/>
        <v>0.66948873350245564</v>
      </c>
      <c r="D71" s="408">
        <f t="shared" si="5"/>
        <v>0.14895028535179594</v>
      </c>
      <c r="E71" s="408">
        <f t="shared" si="6"/>
        <v>0.66726012755785169</v>
      </c>
      <c r="F71" s="408">
        <f t="shared" si="7"/>
        <v>0.17000103688577239</v>
      </c>
      <c r="G71" s="182"/>
      <c r="J71" s="182"/>
    </row>
    <row r="72" spans="1:10">
      <c r="G72" s="182"/>
      <c r="J72" s="182"/>
    </row>
    <row r="73" spans="1:10">
      <c r="G73" s="182"/>
      <c r="J73" s="182"/>
    </row>
    <row r="74" spans="1:10" ht="43.8">
      <c r="A74" s="407" t="s">
        <v>163</v>
      </c>
      <c r="B74" s="401" t="s">
        <v>77</v>
      </c>
      <c r="C74" s="401" t="s">
        <v>27</v>
      </c>
      <c r="D74" s="401" t="s">
        <v>28</v>
      </c>
      <c r="E74" s="401" t="s">
        <v>29</v>
      </c>
      <c r="F74" s="401" t="s">
        <v>30</v>
      </c>
      <c r="G74" s="182"/>
      <c r="J74" s="182"/>
    </row>
    <row r="75" spans="1:10" s="182" customFormat="1">
      <c r="A75" s="327">
        <v>2025</v>
      </c>
      <c r="B75" s="401"/>
      <c r="C75" s="406">
        <v>0.97458474343702572</v>
      </c>
      <c r="D75" s="406">
        <v>0.94695327782146865</v>
      </c>
      <c r="E75" s="406">
        <v>0.97420888395271954</v>
      </c>
      <c r="F75" s="406">
        <v>0.94000774513516772</v>
      </c>
    </row>
    <row r="76" spans="1:10" s="182" customFormat="1">
      <c r="A76" s="327">
        <v>2026</v>
      </c>
      <c r="B76" s="401"/>
      <c r="C76" s="406">
        <f t="shared" ref="C76:C79" si="9">1*(1+J$21)</f>
        <v>0.97458474343702572</v>
      </c>
      <c r="D76" s="406">
        <f t="shared" ref="D76:D79" si="10">1*(1+K$21)</f>
        <v>0.94695327782146865</v>
      </c>
      <c r="E76" s="406">
        <f t="shared" ref="E76:E79" si="11">1*(1+L$21)</f>
        <v>0.97420888395271954</v>
      </c>
      <c r="F76" s="406">
        <f t="shared" ref="F76:F79" si="12">1*(1+M$21)</f>
        <v>0.94000774513516772</v>
      </c>
    </row>
    <row r="77" spans="1:10" s="182" customFormat="1">
      <c r="A77" s="327">
        <v>2027</v>
      </c>
      <c r="B77" s="401"/>
      <c r="C77" s="406">
        <f t="shared" si="9"/>
        <v>0.97458474343702572</v>
      </c>
      <c r="D77" s="406">
        <f t="shared" si="10"/>
        <v>0.94695327782146865</v>
      </c>
      <c r="E77" s="406">
        <f t="shared" si="11"/>
        <v>0.97420888395271954</v>
      </c>
      <c r="F77" s="406">
        <f t="shared" si="12"/>
        <v>0.94000774513516772</v>
      </c>
    </row>
    <row r="78" spans="1:10" s="182" customFormat="1">
      <c r="A78" s="327">
        <v>2028</v>
      </c>
      <c r="B78" s="401"/>
      <c r="C78" s="406">
        <f t="shared" si="9"/>
        <v>0.97458474343702572</v>
      </c>
      <c r="D78" s="406">
        <f t="shared" si="10"/>
        <v>0.94695327782146865</v>
      </c>
      <c r="E78" s="406">
        <f t="shared" si="11"/>
        <v>0.97420888395271954</v>
      </c>
      <c r="F78" s="406">
        <f t="shared" si="12"/>
        <v>0.94000774513516772</v>
      </c>
    </row>
    <row r="79" spans="1:10">
      <c r="A79" s="327">
        <v>2029</v>
      </c>
      <c r="B79" s="327"/>
      <c r="C79" s="406">
        <f t="shared" si="9"/>
        <v>0.97458474343702572</v>
      </c>
      <c r="D79" s="406">
        <f t="shared" si="10"/>
        <v>0.94695327782146865</v>
      </c>
      <c r="E79" s="406">
        <f t="shared" si="11"/>
        <v>0.97420888395271954</v>
      </c>
      <c r="F79" s="406">
        <f t="shared" si="12"/>
        <v>0.94000774513516772</v>
      </c>
      <c r="G79" s="182"/>
      <c r="J79" s="182"/>
    </row>
    <row r="80" spans="1:10">
      <c r="A80" s="327">
        <v>2030</v>
      </c>
      <c r="B80" s="327"/>
      <c r="C80" s="406">
        <f>1*(1+J$21)</f>
        <v>0.97458474343702572</v>
      </c>
      <c r="D80" s="406">
        <f>1*(1+K$21)</f>
        <v>0.94695327782146865</v>
      </c>
      <c r="E80" s="406">
        <f>1*(1+L$21)</f>
        <v>0.97420888395271954</v>
      </c>
      <c r="F80" s="406">
        <f>1*(1+M$21)</f>
        <v>0.94000774513516772</v>
      </c>
      <c r="G80" s="182"/>
      <c r="J80" s="182"/>
    </row>
    <row r="81" spans="1:10">
      <c r="A81" s="327">
        <f>A80+1</f>
        <v>2031</v>
      </c>
      <c r="B81" s="327"/>
      <c r="C81" s="406">
        <f t="shared" ref="C81:C108" si="13">C80*(1+J$21)</f>
        <v>0.94981542214021331</v>
      </c>
      <c r="D81" s="406">
        <f t="shared" ref="D81:D108" si="14">D80*(1+K$21)</f>
        <v>0.89672051037682354</v>
      </c>
      <c r="E81" s="406">
        <f t="shared" ref="E81:E108" si="15">E80*(1+L$21)</f>
        <v>0.94908294957240336</v>
      </c>
      <c r="F81" s="406">
        <f t="shared" ref="F81:F108" si="16">F80*(1+M$21)</f>
        <v>0.8836145609141024</v>
      </c>
      <c r="G81" s="182"/>
      <c r="J81" s="182"/>
    </row>
    <row r="82" spans="1:10">
      <c r="A82" s="327">
        <f t="shared" ref="A82:A98" si="17">A81+1</f>
        <v>2032</v>
      </c>
      <c r="B82" s="327"/>
      <c r="C82" s="406">
        <f t="shared" si="13"/>
        <v>0.92567561949905008</v>
      </c>
      <c r="D82" s="406">
        <f t="shared" si="14"/>
        <v>0.84915242659107337</v>
      </c>
      <c r="E82" s="406">
        <f t="shared" si="15"/>
        <v>0.92460504108148622</v>
      </c>
      <c r="F82" s="406">
        <f t="shared" si="16"/>
        <v>0.83060453097346665</v>
      </c>
      <c r="G82" s="182"/>
      <c r="J82" s="182"/>
    </row>
    <row r="83" spans="1:10">
      <c r="A83" s="327">
        <f t="shared" si="17"/>
        <v>2033</v>
      </c>
      <c r="B83" s="327"/>
      <c r="C83" s="406">
        <f t="shared" si="13"/>
        <v>0.90214933613539161</v>
      </c>
      <c r="D83" s="406">
        <f t="shared" si="14"/>
        <v>0.80410767373047098</v>
      </c>
      <c r="E83" s="406">
        <f t="shared" si="15"/>
        <v>0.90075844516905312</v>
      </c>
      <c r="F83" s="406">
        <f t="shared" si="16"/>
        <v>0.78077469225942198</v>
      </c>
      <c r="G83" s="182"/>
      <c r="J83" s="182"/>
    </row>
    <row r="84" spans="1:10">
      <c r="A84" s="327">
        <f t="shared" si="17"/>
        <v>2034</v>
      </c>
      <c r="B84" s="327"/>
      <c r="C84" s="406">
        <f t="shared" si="13"/>
        <v>0.87922097929939369</v>
      </c>
      <c r="D84" s="406">
        <f t="shared" si="14"/>
        <v>0.76145239736046555</v>
      </c>
      <c r="E84" s="406">
        <f t="shared" si="15"/>
        <v>0.87752687957913011</v>
      </c>
      <c r="F84" s="406">
        <f t="shared" si="16"/>
        <v>0.73393425792938372</v>
      </c>
      <c r="G84" s="182"/>
      <c r="J84" s="182"/>
    </row>
    <row r="85" spans="1:10">
      <c r="A85" s="327">
        <f t="shared" si="17"/>
        <v>2035</v>
      </c>
      <c r="B85" s="327"/>
      <c r="C85" s="406">
        <f t="shared" si="13"/>
        <v>0.85687535253495006</v>
      </c>
      <c r="D85" s="406">
        <f t="shared" si="14"/>
        <v>0.72105984358550823</v>
      </c>
      <c r="E85" s="406">
        <f t="shared" si="15"/>
        <v>0.85489448199329687</v>
      </c>
      <c r="F85" s="406">
        <f t="shared" si="16"/>
        <v>0.68990388687365256</v>
      </c>
      <c r="G85" s="182"/>
      <c r="J85" s="182"/>
    </row>
    <row r="86" spans="1:10">
      <c r="A86" s="327">
        <f t="shared" si="17"/>
        <v>2036</v>
      </c>
      <c r="B86" s="327"/>
      <c r="C86" s="406">
        <f t="shared" si="13"/>
        <v>0.83509764560778532</v>
      </c>
      <c r="D86" s="406">
        <f t="shared" si="14"/>
        <v>0.68280998238873247</v>
      </c>
      <c r="E86" s="406">
        <f t="shared" si="15"/>
        <v>0.83284579920002799</v>
      </c>
      <c r="F86" s="406">
        <f t="shared" si="16"/>
        <v>0.64851499706008997</v>
      </c>
      <c r="G86" s="182"/>
      <c r="J86" s="182"/>
    </row>
    <row r="87" spans="1:10">
      <c r="A87" s="327">
        <f t="shared" si="17"/>
        <v>2037</v>
      </c>
      <c r="B87" s="327"/>
      <c r="C87" s="406">
        <f t="shared" si="13"/>
        <v>0.81387342468952772</v>
      </c>
      <c r="D87" s="406">
        <f t="shared" si="14"/>
        <v>0.64658915095222946</v>
      </c>
      <c r="E87" s="406">
        <f t="shared" si="15"/>
        <v>0.81136577654337005</v>
      </c>
      <c r="F87" s="406">
        <f t="shared" si="16"/>
        <v>0.60960912007279511</v>
      </c>
      <c r="G87" s="182"/>
      <c r="J87" s="182"/>
    </row>
    <row r="88" spans="1:10">
      <c r="A88" s="327">
        <f t="shared" si="17"/>
        <v>2038</v>
      </c>
      <c r="B88" s="327"/>
      <c r="C88" s="406">
        <f t="shared" si="13"/>
        <v>0.7931886227912569</v>
      </c>
      <c r="D88" s="406">
        <f t="shared" si="14"/>
        <v>0.61228971589801406</v>
      </c>
      <c r="E88" s="406">
        <f t="shared" si="15"/>
        <v>0.79043974764374814</v>
      </c>
      <c r="F88" s="406">
        <f t="shared" si="16"/>
        <v>0.57303729437346185</v>
      </c>
      <c r="G88" s="182"/>
      <c r="J88" s="182"/>
    </row>
    <row r="89" spans="1:10">
      <c r="A89" s="327">
        <f t="shared" si="17"/>
        <v>2039</v>
      </c>
      <c r="B89" s="327"/>
      <c r="C89" s="406">
        <f t="shared" si="13"/>
        <v>0.77302953044018485</v>
      </c>
      <c r="D89" s="406">
        <f t="shared" si="14"/>
        <v>0.57980975344600028</v>
      </c>
      <c r="E89" s="406">
        <f t="shared" si="15"/>
        <v>0.77005342438388513</v>
      </c>
      <c r="F89" s="406">
        <f t="shared" si="16"/>
        <v>0.53865949496235521</v>
      </c>
      <c r="G89" s="182"/>
      <c r="J89" s="182"/>
    </row>
    <row r="90" spans="1:10">
      <c r="A90" s="327">
        <f t="shared" si="17"/>
        <v>2040</v>
      </c>
      <c r="B90" s="327"/>
      <c r="C90" s="406">
        <f t="shared" si="13"/>
        <v>0.75338278659329205</v>
      </c>
      <c r="D90" s="406">
        <f t="shared" si="14"/>
        <v>0.54905274653854752</v>
      </c>
      <c r="E90" s="406">
        <f t="shared" si="15"/>
        <v>0.75019288715299459</v>
      </c>
      <c r="F90" s="406">
        <f t="shared" si="16"/>
        <v>0.50634409725521179</v>
      </c>
      <c r="G90" s="182"/>
      <c r="J90" s="182"/>
    </row>
    <row r="91" spans="1:10">
      <c r="A91" s="327">
        <f t="shared" si="17"/>
        <v>2041</v>
      </c>
      <c r="B91" s="327"/>
      <c r="C91" s="406">
        <f t="shared" si="13"/>
        <v>0.73423536978189508</v>
      </c>
      <c r="D91" s="406">
        <f t="shared" si="14"/>
        <v>0.51992729803155757</v>
      </c>
      <c r="E91" s="406">
        <f t="shared" si="15"/>
        <v>0.73084457534258729</v>
      </c>
      <c r="F91" s="406">
        <f t="shared" si="16"/>
        <v>0.47596737312337367</v>
      </c>
      <c r="G91" s="182"/>
      <c r="J91" s="182"/>
    </row>
    <row r="92" spans="1:10">
      <c r="A92" s="327">
        <f t="shared" si="17"/>
        <v>2042</v>
      </c>
      <c r="B92" s="327"/>
      <c r="C92" s="406">
        <f t="shared" si="13"/>
        <v>0.71557458948127795</v>
      </c>
      <c r="D92" s="406">
        <f t="shared" si="14"/>
        <v>0.49234685909984305</v>
      </c>
      <c r="E92" s="406">
        <f t="shared" si="15"/>
        <v>0.71199527808740126</v>
      </c>
      <c r="F92" s="406">
        <f t="shared" si="16"/>
        <v>0.4474130171676115</v>
      </c>
      <c r="G92" s="182"/>
      <c r="J92" s="182"/>
    </row>
    <row r="93" spans="1:10">
      <c r="A93" s="327">
        <f t="shared" si="17"/>
        <v>2043</v>
      </c>
      <c r="B93" s="327"/>
      <c r="C93" s="406">
        <f t="shared" si="13"/>
        <v>0.69738807769966626</v>
      </c>
      <c r="D93" s="406">
        <f t="shared" si="14"/>
        <v>0.46622947204970117</v>
      </c>
      <c r="E93" s="406">
        <f t="shared" si="15"/>
        <v>0.6936321252451334</v>
      </c>
      <c r="F93" s="406">
        <f t="shared" si="16"/>
        <v>0.42057170141184858</v>
      </c>
      <c r="G93" s="182"/>
      <c r="J93" s="182"/>
    </row>
    <row r="94" spans="1:10">
      <c r="A94" s="327">
        <f t="shared" si="17"/>
        <v>2044</v>
      </c>
      <c r="B94" s="327"/>
      <c r="C94" s="406">
        <f t="shared" si="13"/>
        <v>0.67966378078096978</v>
      </c>
      <c r="D94" s="406">
        <f t="shared" si="14"/>
        <v>0.44149752677443732</v>
      </c>
      <c r="E94" s="406">
        <f t="shared" si="15"/>
        <v>0.67574257860881437</v>
      </c>
      <c r="F94" s="406">
        <f t="shared" si="16"/>
        <v>0.39534065671181279</v>
      </c>
      <c r="G94" s="182"/>
      <c r="J94" s="182"/>
    </row>
    <row r="95" spans="1:10">
      <c r="A95" s="327">
        <f t="shared" si="17"/>
        <v>2045</v>
      </c>
      <c r="B95" s="327"/>
      <c r="C95" s="406">
        <f t="shared" si="13"/>
        <v>0.66238995141586032</v>
      </c>
      <c r="D95" s="406">
        <f t="shared" si="14"/>
        <v>0.41807753012912502</v>
      </c>
      <c r="E95" s="406">
        <f t="shared" si="15"/>
        <v>0.65831442334582591</v>
      </c>
      <c r="F95" s="406">
        <f t="shared" si="16"/>
        <v>0.37162327927592753</v>
      </c>
      <c r="G95" s="182"/>
      <c r="J95" s="182"/>
    </row>
    <row r="96" spans="1:10">
      <c r="A96" s="327">
        <f t="shared" si="17"/>
        <v>2046</v>
      </c>
      <c r="B96" s="327"/>
      <c r="C96" s="406">
        <f t="shared" si="13"/>
        <v>0.64555514085589016</v>
      </c>
      <c r="D96" s="406">
        <f t="shared" si="14"/>
        <v>0.39589988753927874</v>
      </c>
      <c r="E96" s="406">
        <f t="shared" si="15"/>
        <v>0.64133575965771517</v>
      </c>
      <c r="F96" s="406">
        <f t="shared" si="16"/>
        <v>0.34932876079190134</v>
      </c>
      <c r="G96" s="182"/>
      <c r="J96" s="182"/>
    </row>
    <row r="97" spans="1:10">
      <c r="A97" s="327">
        <f t="shared" si="17"/>
        <v>2047</v>
      </c>
      <c r="B97" s="327"/>
      <c r="C97" s="406">
        <f t="shared" si="13"/>
        <v>0.62914819132549071</v>
      </c>
      <c r="D97" s="406">
        <f t="shared" si="14"/>
        <v>0.3748986961944708</v>
      </c>
      <c r="E97" s="406">
        <f t="shared" si="15"/>
        <v>0.62479499465511223</v>
      </c>
      <c r="F97" s="406">
        <f t="shared" si="16"/>
        <v>0.32837174074285758</v>
      </c>
      <c r="G97" s="182"/>
      <c r="J97" s="182"/>
    </row>
    <row r="98" spans="1:10">
      <c r="A98" s="327">
        <f t="shared" si="17"/>
        <v>2048</v>
      </c>
      <c r="B98" s="327"/>
      <c r="C98" s="406">
        <f t="shared" si="13"/>
        <v>0.61315822862682212</v>
      </c>
      <c r="D98" s="406">
        <f t="shared" si="14"/>
        <v>0.35501154921234906</v>
      </c>
      <c r="E98" s="406">
        <f t="shared" si="15"/>
        <v>0.60868083444220222</v>
      </c>
      <c r="F98" s="406">
        <f t="shared" si="16"/>
        <v>0.30867197958180342</v>
      </c>
      <c r="G98" s="182"/>
      <c r="J98" s="182"/>
    </row>
    <row r="99" spans="1:10">
      <c r="A99" s="327">
        <v>2049</v>
      </c>
      <c r="B99" s="327"/>
      <c r="C99" s="406">
        <f t="shared" si="13"/>
        <v>0.59757465493257256</v>
      </c>
      <c r="D99" s="406">
        <f t="shared" si="14"/>
        <v>0.33617935019111156</v>
      </c>
      <c r="E99" s="406">
        <f t="shared" si="15"/>
        <v>0.59298227640534784</v>
      </c>
      <c r="F99" s="406">
        <f t="shared" si="16"/>
        <v>0.29015405151309959</v>
      </c>
      <c r="G99" s="182"/>
      <c r="J99" s="182"/>
    </row>
    <row r="100" spans="1:10">
      <c r="A100" s="327">
        <v>2050</v>
      </c>
      <c r="B100" s="327"/>
      <c r="C100" s="406">
        <f t="shared" si="13"/>
        <v>0.5823871417619304</v>
      </c>
      <c r="D100" s="406">
        <f t="shared" si="14"/>
        <v>0.31834613759936448</v>
      </c>
      <c r="E100" s="406">
        <f t="shared" si="15"/>
        <v>0.57768860170059699</v>
      </c>
      <c r="F100" s="406">
        <f t="shared" si="16"/>
        <v>0.27274705570466207</v>
      </c>
      <c r="G100" s="182"/>
      <c r="J100" s="182"/>
    </row>
    <row r="101" spans="1:10">
      <c r="A101" s="327">
        <v>2051</v>
      </c>
      <c r="B101" s="327"/>
      <c r="C101" s="406">
        <f t="shared" si="13"/>
        <v>0.56758562313507366</v>
      </c>
      <c r="D101" s="406">
        <f t="shared" si="14"/>
        <v>0.30145891848152245</v>
      </c>
      <c r="E101" s="406">
        <f t="shared" si="15"/>
        <v>0.56278936793494572</v>
      </c>
      <c r="F101" s="406">
        <f t="shared" si="16"/>
        <v>0.2563843448251954</v>
      </c>
      <c r="G101" s="182"/>
    </row>
    <row r="102" spans="1:10">
      <c r="A102" s="327">
        <v>2052</v>
      </c>
      <c r="B102" s="327"/>
      <c r="C102" s="406">
        <f t="shared" si="13"/>
        <v>0.55316028890164015</v>
      </c>
      <c r="D102" s="406">
        <f t="shared" si="14"/>
        <v>0.28546751098459261</v>
      </c>
      <c r="E102" s="406">
        <f t="shared" si="15"/>
        <v>0.54827440203635991</v>
      </c>
      <c r="F102" s="406">
        <f t="shared" si="16"/>
        <v>0.24100326986708923</v>
      </c>
      <c r="G102" s="182"/>
    </row>
    <row r="103" spans="1:10">
      <c r="A103" s="327">
        <v>2053</v>
      </c>
      <c r="B103" s="327"/>
      <c r="C103" s="406">
        <f t="shared" si="13"/>
        <v>0.53910157823875604</v>
      </c>
      <c r="D103" s="406">
        <f t="shared" si="14"/>
        <v>0.27032439523839608</v>
      </c>
      <c r="E103" s="406">
        <f t="shared" si="15"/>
        <v>0.53413379330768684</v>
      </c>
      <c r="F103" s="406">
        <f t="shared" si="16"/>
        <v>0.22654494027796485</v>
      </c>
    </row>
    <row r="104" spans="1:10">
      <c r="A104" s="327">
        <v>2054</v>
      </c>
      <c r="B104" s="327"/>
      <c r="C104" s="406">
        <f t="shared" si="13"/>
        <v>0.52540017331431366</v>
      </c>
      <c r="D104" s="406">
        <f t="shared" si="14"/>
        <v>0.25598457214610537</v>
      </c>
      <c r="E104" s="406">
        <f t="shared" si="15"/>
        <v>0.52035788665971416</v>
      </c>
      <c r="F104" s="406">
        <f t="shared" si="16"/>
        <v>0.21295399848247096</v>
      </c>
    </row>
    <row r="105" spans="1:10" hidden="1">
      <c r="A105" s="182">
        <v>2055</v>
      </c>
      <c r="C105" s="235">
        <f t="shared" si="13"/>
        <v>0.5120469931112992</v>
      </c>
      <c r="D105" s="235">
        <f t="shared" si="14"/>
        <v>0.2424054296654807</v>
      </c>
      <c r="E105" s="235">
        <f t="shared" si="15"/>
        <v>0.50693727601875582</v>
      </c>
      <c r="F105" s="235">
        <f t="shared" si="16"/>
        <v>0.20017840793102545</v>
      </c>
    </row>
    <row r="106" spans="1:10" hidden="1">
      <c r="A106" s="182">
        <v>2056</v>
      </c>
      <c r="C106" s="235">
        <f t="shared" si="13"/>
        <v>0.49903318740907598</v>
      </c>
      <c r="D106" s="235">
        <f t="shared" si="14"/>
        <v>0.22954661618344843</v>
      </c>
      <c r="E106" s="235">
        <f t="shared" si="15"/>
        <v>0.49386279790426385</v>
      </c>
      <c r="F106" s="235">
        <f t="shared" si="16"/>
        <v>0.188169253863991</v>
      </c>
    </row>
    <row r="107" spans="1:10" hidden="1">
      <c r="A107" s="182">
        <v>2057</v>
      </c>
      <c r="C107" s="235">
        <f t="shared" si="13"/>
        <v>0.48635013091763551</v>
      </c>
      <c r="D107" s="235">
        <f t="shared" si="14"/>
        <v>0.21736992060774307</v>
      </c>
      <c r="E107" s="235">
        <f t="shared" si="15"/>
        <v>0.48112552517208035</v>
      </c>
      <c r="F107" s="235">
        <f t="shared" si="16"/>
        <v>0.17688055602845712</v>
      </c>
    </row>
    <row r="108" spans="1:10" hidden="1">
      <c r="A108" s="182">
        <v>2058</v>
      </c>
      <c r="C108" s="235">
        <f t="shared" si="13"/>
        <v>0.47398941756092766</v>
      </c>
      <c r="D108" s="235">
        <f t="shared" si="14"/>
        <v>0.20583915881929471</v>
      </c>
      <c r="E108" s="235">
        <f t="shared" si="15"/>
        <v>0.46871676091905845</v>
      </c>
      <c r="F108" s="235">
        <f t="shared" si="16"/>
        <v>0.16626909263056466</v>
      </c>
    </row>
    <row r="109" spans="1:10" hidden="1"/>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69"/>
  <sheetViews>
    <sheetView workbookViewId="0">
      <selection activeCell="C11" sqref="C11"/>
    </sheetView>
  </sheetViews>
  <sheetFormatPr defaultRowHeight="14.4"/>
  <cols>
    <col min="3" max="3" width="15" customWidth="1"/>
    <col min="4" max="4" width="9.5546875" bestFit="1" customWidth="1"/>
    <col min="11" max="11" width="15.33203125" bestFit="1" customWidth="1"/>
    <col min="12" max="12" width="9.5546875" bestFit="1" customWidth="1"/>
  </cols>
  <sheetData>
    <row r="1" spans="1:16" s="182" customFormat="1" ht="22.8">
      <c r="A1" s="271" t="str">
        <f>'Title Sheet'!$A$2</f>
        <v>Benefit-Cost Analysis Spreadsheet for the Illinois International Port - Calumet Bridges Rehabilitation Project</v>
      </c>
      <c r="C1" s="185"/>
    </row>
    <row r="2" spans="1:16" s="182" customFormat="1" ht="18">
      <c r="A2" s="168" t="s">
        <v>161</v>
      </c>
      <c r="C2" s="185"/>
    </row>
    <row r="3" spans="1:16">
      <c r="A3" s="413" t="s">
        <v>3</v>
      </c>
      <c r="B3" s="327"/>
      <c r="C3" s="410" t="s">
        <v>20</v>
      </c>
      <c r="D3" s="494" t="s">
        <v>25</v>
      </c>
      <c r="E3" s="495"/>
      <c r="F3" s="495"/>
      <c r="G3" s="496"/>
      <c r="H3" s="245"/>
      <c r="I3" s="414" t="s">
        <v>2</v>
      </c>
      <c r="J3" s="327"/>
      <c r="K3" s="410" t="s">
        <v>21</v>
      </c>
      <c r="L3" s="497" t="s">
        <v>25</v>
      </c>
      <c r="M3" s="497"/>
      <c r="N3" s="497"/>
      <c r="O3" s="497"/>
      <c r="P3" s="245"/>
    </row>
    <row r="4" spans="1:16">
      <c r="A4" s="417" t="s">
        <v>19</v>
      </c>
      <c r="B4" s="417" t="s">
        <v>1</v>
      </c>
      <c r="C4" s="417" t="s">
        <v>161</v>
      </c>
      <c r="D4" s="401" t="s">
        <v>39</v>
      </c>
      <c r="E4" s="401" t="s">
        <v>40</v>
      </c>
      <c r="F4" s="401" t="s">
        <v>41</v>
      </c>
      <c r="G4" s="401" t="s">
        <v>42</v>
      </c>
      <c r="H4" s="245"/>
      <c r="I4" s="417" t="s">
        <v>19</v>
      </c>
      <c r="J4" s="417" t="s">
        <v>1</v>
      </c>
      <c r="K4" s="417" t="s">
        <v>161</v>
      </c>
      <c r="L4" s="401" t="s">
        <v>39</v>
      </c>
      <c r="M4" s="401" t="s">
        <v>40</v>
      </c>
      <c r="N4" s="401" t="s">
        <v>41</v>
      </c>
      <c r="O4" s="401" t="s">
        <v>42</v>
      </c>
      <c r="P4" s="245"/>
    </row>
    <row r="5" spans="1:16" s="182" customFormat="1">
      <c r="A5" s="336">
        <f>ROUND('TDM Data'!$K$18*((1+'TDM Data'!$L$23)^(B5-2025)),0)</f>
        <v>29</v>
      </c>
      <c r="B5" s="138">
        <v>2025</v>
      </c>
      <c r="C5" s="411">
        <f>'VMT to VOC Savings'!B7</f>
        <v>10574781792</v>
      </c>
      <c r="D5" s="412">
        <f>VLOOKUP('Emissions Per VMT'!$A5, 'Environmental Factors2'!$B$6:$F$19, 'Environmental Factors2'!C$4, FALSE)*'Environmental Factors2'!C38</f>
        <v>309.85715071114231</v>
      </c>
      <c r="E5" s="412">
        <f>VLOOKUP('Emissions Per VMT'!$A5, 'Environmental Factors2'!$B$6:$F$19, 'Environmental Factors2'!D$4, FALSE)*'Environmental Factors2'!D38</f>
        <v>6.5147373065442896E-2</v>
      </c>
      <c r="F5" s="412">
        <f>VLOOKUP('Emissions Per VMT'!$A5, 'Environmental Factors2'!$B$6:$F$19, 'Environmental Factors2'!E$4, FALSE)*'Environmental Factors2'!E38</f>
        <v>3.0633308516881987E-3</v>
      </c>
      <c r="G5" s="412">
        <f>VLOOKUP('Emissions Per VMT'!$A5, 'Environmental Factors2'!$B$6:$F$19, 'Environmental Factors2'!F$4, FALSE)*'Environmental Factors2'!F38</f>
        <v>1.4238278442589816E-3</v>
      </c>
      <c r="I5" s="336">
        <f>ROUND('TDM Data'!$K$5*((1+'TDM Data'!$L$10)^(B5-2025)),0)</f>
        <v>29</v>
      </c>
      <c r="J5" s="138">
        <v>2025</v>
      </c>
      <c r="K5" s="363">
        <f>'VMT to VOC Savings'!F7</f>
        <v>10551621000</v>
      </c>
      <c r="L5" s="412">
        <f>VLOOKUP('Emissions Per VMT'!$I5, 'Environmental Factors2'!$B$6:$F$19, 'Environmental Factors2'!C$4, FALSE)*'Environmental Factors2'!C38</f>
        <v>309.85715071114231</v>
      </c>
      <c r="M5" s="412">
        <f>VLOOKUP('Emissions Per VMT'!$I5, 'Environmental Factors2'!$B$6:$F$19, 'Environmental Factors2'!D$4, FALSE)*'Environmental Factors2'!D38</f>
        <v>6.5147373065442896E-2</v>
      </c>
      <c r="N5" s="412">
        <f>VLOOKUP('Emissions Per VMT'!$I5, 'Environmental Factors2'!$B$6:$F$19, 'Environmental Factors2'!E$4, FALSE)*'Environmental Factors2'!E38</f>
        <v>3.0633308516881987E-3</v>
      </c>
      <c r="O5" s="412">
        <f>VLOOKUP('Emissions Per VMT'!$I5, 'Environmental Factors2'!$B$6:$F$19, 'Environmental Factors2'!F$4, FALSE)*'Environmental Factors2'!F38</f>
        <v>1.4238278442589816E-3</v>
      </c>
    </row>
    <row r="6" spans="1:16" s="182" customFormat="1">
      <c r="A6" s="336">
        <f>ROUND('TDM Data'!$K$18*((1+'TDM Data'!$L$23)^(B6-2025)),0)</f>
        <v>29</v>
      </c>
      <c r="B6" s="138">
        <v>2026</v>
      </c>
      <c r="C6" s="411">
        <f>'VMT to VOC Savings'!B8</f>
        <v>10608092407.030188</v>
      </c>
      <c r="D6" s="412">
        <f>VLOOKUP('Emissions Per VMT'!$A6, 'Environmental Factors2'!$B$6:$F$19, 'Environmental Factors2'!C$4, FALSE)*'Environmental Factors2'!C39</f>
        <v>306.22195523896841</v>
      </c>
      <c r="E6" s="412">
        <f>VLOOKUP('Emissions Per VMT'!$A6, 'Environmental Factors2'!$B$6:$F$19, 'Environmental Factors2'!D$4, FALSE)*'Environmental Factors2'!D39</f>
        <v>6.1599132326966538E-2</v>
      </c>
      <c r="F6" s="412">
        <f>VLOOKUP('Emissions Per VMT'!$A6, 'Environmental Factors2'!$B$6:$F$19, 'Environmental Factors2'!E$4, FALSE)*'Environmental Factors2'!E39</f>
        <v>3.0270954538402397E-3</v>
      </c>
      <c r="G6" s="412">
        <f>VLOOKUP('Emissions Per VMT'!$A6, 'Environmental Factors2'!$B$6:$F$19, 'Environmental Factors2'!F$4, FALSE)*'Environmental Factors2'!F39</f>
        <v>1.3515238200581192E-3</v>
      </c>
      <c r="I6" s="336">
        <f>ROUND('TDM Data'!$K$5*((1+'TDM Data'!$L$10)^(B6-2025)),0)</f>
        <v>29</v>
      </c>
      <c r="J6" s="138">
        <v>2026</v>
      </c>
      <c r="K6" s="363">
        <f>'VMT to VOC Savings'!F8</f>
        <v>10584028532.383698</v>
      </c>
      <c r="L6" s="412">
        <f>VLOOKUP('Emissions Per VMT'!$I6, 'Environmental Factors2'!$B$6:$F$19, 'Environmental Factors2'!C$4, FALSE)*'Environmental Factors2'!C39</f>
        <v>306.22195523896841</v>
      </c>
      <c r="M6" s="412">
        <f>VLOOKUP('Emissions Per VMT'!$I6, 'Environmental Factors2'!$B$6:$F$19, 'Environmental Factors2'!D$4, FALSE)*'Environmental Factors2'!D39</f>
        <v>6.1599132326966538E-2</v>
      </c>
      <c r="N6" s="412">
        <f>VLOOKUP('Emissions Per VMT'!$I6, 'Environmental Factors2'!$B$6:$F$19, 'Environmental Factors2'!E$4, FALSE)*'Environmental Factors2'!E39</f>
        <v>3.0270954538402397E-3</v>
      </c>
      <c r="O6" s="412">
        <f>VLOOKUP('Emissions Per VMT'!$I6, 'Environmental Factors2'!$B$6:$F$19, 'Environmental Factors2'!F$4, FALSE)*'Environmental Factors2'!F39</f>
        <v>1.3515238200581192E-3</v>
      </c>
    </row>
    <row r="7" spans="1:16" s="182" customFormat="1">
      <c r="A7" s="336">
        <f>ROUND('TDM Data'!$K$18*((1+'TDM Data'!$L$23)^(B7-2025)),0)</f>
        <v>29</v>
      </c>
      <c r="B7" s="138">
        <v>2027</v>
      </c>
      <c r="C7" s="411">
        <f>'VMT to VOC Savings'!B9</f>
        <v>10641507950.662735</v>
      </c>
      <c r="D7" s="412">
        <f>VLOOKUP('Emissions Per VMT'!$A7, 'Environmental Factors2'!$B$6:$F$19, 'Environmental Factors2'!C$4, FALSE)*'Environmental Factors2'!C40</f>
        <v>302.6294073096721</v>
      </c>
      <c r="E7" s="412">
        <f>VLOOKUP('Emissions Per VMT'!$A7, 'Environmental Factors2'!$B$6:$F$19, 'Environmental Factors2'!D$4, FALSE)*'Environmental Factors2'!D40</f>
        <v>5.8244145924709327E-2</v>
      </c>
      <c r="F7" s="412">
        <f>VLOOKUP('Emissions Per VMT'!$A7, 'Environmental Factors2'!$B$6:$F$19, 'Environmental Factors2'!E$4, FALSE)*'Environmental Factors2'!E40</f>
        <v>2.9912886757270632E-3</v>
      </c>
      <c r="G7" s="412">
        <f>VLOOKUP('Emissions Per VMT'!$A7, 'Environmental Factors2'!$B$6:$F$19, 'Environmental Factors2'!F$4, FALSE)*'Environmental Factors2'!F40</f>
        <v>1.2828914981186769E-3</v>
      </c>
      <c r="I7" s="336">
        <f>ROUND('TDM Data'!$K$5*((1+'TDM Data'!$L$10)^(B7-2025)),0)</f>
        <v>29</v>
      </c>
      <c r="J7" s="138">
        <v>2027</v>
      </c>
      <c r="K7" s="363">
        <f>'VMT to VOC Savings'!F9</f>
        <v>10616535599.062193</v>
      </c>
      <c r="L7" s="412">
        <f>VLOOKUP('Emissions Per VMT'!$I7, 'Environmental Factors2'!$B$6:$F$19, 'Environmental Factors2'!C$4, FALSE)*'Environmental Factors2'!C40</f>
        <v>302.6294073096721</v>
      </c>
      <c r="M7" s="412">
        <f>VLOOKUP('Emissions Per VMT'!$I7, 'Environmental Factors2'!$B$6:$F$19, 'Environmental Factors2'!D$4, FALSE)*'Environmental Factors2'!D40</f>
        <v>5.8244145924709327E-2</v>
      </c>
      <c r="N7" s="412">
        <f>VLOOKUP('Emissions Per VMT'!$I7, 'Environmental Factors2'!$B$6:$F$19, 'Environmental Factors2'!E$4, FALSE)*'Environmental Factors2'!E40</f>
        <v>2.9912886757270632E-3</v>
      </c>
      <c r="O7" s="412">
        <f>VLOOKUP('Emissions Per VMT'!$I7, 'Environmental Factors2'!$B$6:$F$19, 'Environmental Factors2'!F$4, FALSE)*'Environmental Factors2'!F40</f>
        <v>1.2828914981186769E-3</v>
      </c>
    </row>
    <row r="8" spans="1:16" s="182" customFormat="1">
      <c r="A8" s="336">
        <f>ROUND('TDM Data'!$K$18*((1+'TDM Data'!$L$23)^(B8-2025)),0)</f>
        <v>29</v>
      </c>
      <c r="B8" s="138">
        <v>2028</v>
      </c>
      <c r="C8" s="411">
        <f>'VMT to VOC Savings'!B10</f>
        <v>10675028753.423258</v>
      </c>
      <c r="D8" s="412">
        <f>VLOOKUP('Emissions Per VMT'!$A8, 'Environmental Factors2'!$B$6:$F$19, 'Environmental Factors2'!C$4, FALSE)*'Environmental Factors2'!C41</f>
        <v>299.07900658897233</v>
      </c>
      <c r="E8" s="412">
        <f>VLOOKUP('Emissions Per VMT'!$A8, 'Environmental Factors2'!$B$6:$F$19, 'Environmental Factors2'!D$4, FALSE)*'Environmental Factors2'!D41</f>
        <v>5.5071888293688441E-2</v>
      </c>
      <c r="F8" s="412">
        <f>VLOOKUP('Emissions Per VMT'!$A8, 'Environmental Factors2'!$B$6:$F$19, 'Environmental Factors2'!E$4, FALSE)*'Environmental Factors2'!E41</f>
        <v>2.9559054473097574E-3</v>
      </c>
      <c r="G8" s="412">
        <f>VLOOKUP('Emissions Per VMT'!$A8, 'Environmental Factors2'!$B$6:$F$19, 'Environmental Factors2'!F$4, FALSE)*'Environmental Factors2'!F41</f>
        <v>1.2177444241229941E-3</v>
      </c>
      <c r="I8" s="336">
        <f>ROUND('TDM Data'!$K$5*((1+'TDM Data'!$L$10)^(B8-2025)),0)</f>
        <v>29</v>
      </c>
      <c r="J8" s="138">
        <v>2028</v>
      </c>
      <c r="K8" s="363">
        <f>'VMT to VOC Savings'!F10</f>
        <v>10649142505.738359</v>
      </c>
      <c r="L8" s="412">
        <f>VLOOKUP('Emissions Per VMT'!$I8, 'Environmental Factors2'!$B$6:$F$19, 'Environmental Factors2'!C$4, FALSE)*'Environmental Factors2'!C41</f>
        <v>299.07900658897233</v>
      </c>
      <c r="M8" s="412">
        <f>VLOOKUP('Emissions Per VMT'!$I8, 'Environmental Factors2'!$B$6:$F$19, 'Environmental Factors2'!D$4, FALSE)*'Environmental Factors2'!D41</f>
        <v>5.5071888293688441E-2</v>
      </c>
      <c r="N8" s="412">
        <f>VLOOKUP('Emissions Per VMT'!$I8, 'Environmental Factors2'!$B$6:$F$19, 'Environmental Factors2'!E$4, FALSE)*'Environmental Factors2'!E41</f>
        <v>2.9559054473097574E-3</v>
      </c>
      <c r="O8" s="412">
        <f>VLOOKUP('Emissions Per VMT'!$I8, 'Environmental Factors2'!$B$6:$F$19, 'Environmental Factors2'!F$4, FALSE)*'Environmental Factors2'!F41</f>
        <v>1.2177444241229941E-3</v>
      </c>
    </row>
    <row r="9" spans="1:16">
      <c r="A9" s="336">
        <f>ROUND('TDM Data'!$K$18*((1+'TDM Data'!$L$23)^(B9-2025)),0)</f>
        <v>29</v>
      </c>
      <c r="B9" s="138">
        <v>2029</v>
      </c>
      <c r="C9" s="411">
        <f>'VMT to VOC Savings'!B11</f>
        <v>10708655146.878532</v>
      </c>
      <c r="D9" s="412">
        <f>VLOOKUP('Emissions Per VMT'!$A9, 'Environmental Factors2'!$B$6:$F$19, 'Environmental Factors2'!C$4, FALSE)*'Environmental Factors2'!C42</f>
        <v>295.57025861243119</v>
      </c>
      <c r="E9" s="412">
        <f>VLOOKUP('Emissions Per VMT'!$A9, 'Environmental Factors2'!$B$6:$F$19, 'Environmental Factors2'!D$4, FALSE)*'Environmental Factors2'!D42</f>
        <v>5.2072407142051066E-2</v>
      </c>
      <c r="F9" s="412">
        <f>VLOOKUP('Emissions Per VMT'!$A9, 'Environmental Factors2'!$B$6:$F$19, 'Environmental Factors2'!E$4, FALSE)*'Environmental Factors2'!E42</f>
        <v>2.9209407585216725E-3</v>
      </c>
      <c r="G9" s="412">
        <f>VLOOKUP('Emissions Per VMT'!$A9, 'Environmental Factors2'!$B$6:$F$19, 'Environmental Factors2'!F$4, FALSE)*'Environmental Factors2'!F42</f>
        <v>1.1559056121716253E-3</v>
      </c>
      <c r="I9" s="336">
        <f>ROUND('TDM Data'!$K$5*((1+'TDM Data'!$L$10)^(B9-2025)),0)</f>
        <v>29</v>
      </c>
      <c r="J9" s="138">
        <v>2029</v>
      </c>
      <c r="K9" s="363">
        <f>'VMT to VOC Savings'!F11</f>
        <v>10681849559.053989</v>
      </c>
      <c r="L9" s="412">
        <f>VLOOKUP('Emissions Per VMT'!$I9, 'Environmental Factors2'!$B$6:$F$19, 'Environmental Factors2'!C$4, FALSE)*'Environmental Factors2'!C42</f>
        <v>295.57025861243119</v>
      </c>
      <c r="M9" s="412">
        <f>VLOOKUP('Emissions Per VMT'!$I9, 'Environmental Factors2'!$B$6:$F$19, 'Environmental Factors2'!D$4, FALSE)*'Environmental Factors2'!D42</f>
        <v>5.2072407142051066E-2</v>
      </c>
      <c r="N9" s="412">
        <f>VLOOKUP('Emissions Per VMT'!$I9, 'Environmental Factors2'!$B$6:$F$19, 'Environmental Factors2'!E$4, FALSE)*'Environmental Factors2'!E42</f>
        <v>2.9209407585216725E-3</v>
      </c>
      <c r="O9" s="412">
        <f>VLOOKUP('Emissions Per VMT'!$I9, 'Environmental Factors2'!$B$6:$F$19, 'Environmental Factors2'!F$4, FALSE)*'Environmental Factors2'!F42</f>
        <v>1.1559056121716253E-3</v>
      </c>
    </row>
    <row r="10" spans="1:16">
      <c r="A10" s="336">
        <f>ROUND('TDM Data'!$K$18*((1+'TDM Data'!$L$23)^(B10-2025)),0)</f>
        <v>29</v>
      </c>
      <c r="B10" s="138">
        <v>2030</v>
      </c>
      <c r="C10" s="411">
        <f>'VMT to VOC Savings'!B12</f>
        <v>10742387463.639769</v>
      </c>
      <c r="D10" s="412">
        <f>VLOOKUP('Emissions Per VMT'!$A10, 'Environmental Factors2'!$B$6:$F$19, 'Environmental Factors2'!C$4, FALSE)*'Environmental Factors2'!C43</f>
        <v>292.10267471659</v>
      </c>
      <c r="E10" s="412">
        <f>VLOOKUP('Emissions Per VMT'!$A10, 'Environmental Factors2'!$B$6:$F$19, 'Environmental Factors2'!D$4, FALSE)*'Environmental Factors2'!D43</f>
        <v>4.9236292227849546E-2</v>
      </c>
      <c r="F10" s="412">
        <f>VLOOKUP('Emissions Per VMT'!$A10, 'Environmental Factors2'!$B$6:$F$19, 'Environmental Factors2'!E$4, FALSE)*'Environmental Factors2'!E43</f>
        <v>2.886389658559022E-3</v>
      </c>
      <c r="G10" s="412">
        <f>VLOOKUP('Emissions Per VMT'!$A10, 'Environmental Factors2'!$B$6:$F$19, 'Environmental Factors2'!F$4, FALSE)*'Environmental Factors2'!F43</f>
        <v>1.0972070639634558E-3</v>
      </c>
      <c r="I10" s="336">
        <f>ROUND('TDM Data'!$K$5*((1+'TDM Data'!$L$10)^(B10-2025)),0)</f>
        <v>29</v>
      </c>
      <c r="J10" s="138">
        <v>2030</v>
      </c>
      <c r="K10" s="363">
        <f>'VMT to VOC Savings'!F12</f>
        <v>10714657066.592672</v>
      </c>
      <c r="L10" s="412">
        <f>VLOOKUP('Emissions Per VMT'!$I10, 'Environmental Factors2'!$B$6:$F$19, 'Environmental Factors2'!C$4, FALSE)*'Environmental Factors2'!C43</f>
        <v>292.10267471659</v>
      </c>
      <c r="M10" s="412">
        <f>VLOOKUP('Emissions Per VMT'!$I10, 'Environmental Factors2'!$B$6:$F$19, 'Environmental Factors2'!D$4, FALSE)*'Environmental Factors2'!D43</f>
        <v>4.9236292227849546E-2</v>
      </c>
      <c r="N10" s="412">
        <f>VLOOKUP('Emissions Per VMT'!$I10, 'Environmental Factors2'!$B$6:$F$19, 'Environmental Factors2'!E$4, FALSE)*'Environmental Factors2'!E43</f>
        <v>2.886389658559022E-3</v>
      </c>
      <c r="O10" s="412">
        <f>VLOOKUP('Emissions Per VMT'!$I10, 'Environmental Factors2'!$B$6:$F$19, 'Environmental Factors2'!F$4, FALSE)*'Environmental Factors2'!F43</f>
        <v>1.0972070639634558E-3</v>
      </c>
    </row>
    <row r="11" spans="1:16">
      <c r="A11" s="336">
        <f>ROUND('TDM Data'!$K$18*((1+'TDM Data'!$L$23)^(B11-2025)),0)</f>
        <v>29</v>
      </c>
      <c r="B11" s="138">
        <v>2031</v>
      </c>
      <c r="C11" s="411">
        <f>'VMT to VOC Savings'!B13</f>
        <v>10776226037.365906</v>
      </c>
      <c r="D11" s="412">
        <f>VLOOKUP('Emissions Per VMT'!$A11, 'Environmental Factors2'!$B$6:$F$19, 'Environmental Factors2'!C$4, FALSE)*'Environmental Factors2'!C44</f>
        <v>288.67577197091305</v>
      </c>
      <c r="E11" s="412">
        <f>VLOOKUP('Emissions Per VMT'!$A11, 'Environmental Factors2'!$B$6:$F$19, 'Environmental Factors2'!D$4, FALSE)*'Environmental Factors2'!D44</f>
        <v>4.6554645836384335E-2</v>
      </c>
      <c r="F11" s="412">
        <f>VLOOKUP('Emissions Per VMT'!$A11, 'Environmental Factors2'!$B$6:$F$19, 'Environmental Factors2'!E$4, FALSE)*'Environmental Factors2'!E44</f>
        <v>2.8522472551798764E-3</v>
      </c>
      <c r="G11" s="412">
        <f>VLOOKUP('Emissions Per VMT'!$A11, 'Environmental Factors2'!$B$6:$F$19, 'Environmental Factors2'!F$4, FALSE)*'Environmental Factors2'!F44</f>
        <v>1.0414893123925424E-3</v>
      </c>
      <c r="I11" s="336">
        <f>ROUND('TDM Data'!$K$5*((1+'TDM Data'!$L$10)^(B11-2025)),0)</f>
        <v>29</v>
      </c>
      <c r="J11" s="138">
        <v>2031</v>
      </c>
      <c r="K11" s="363">
        <f>'VMT to VOC Savings'!F13</f>
        <v>10747565336.882689</v>
      </c>
      <c r="L11" s="412">
        <f>VLOOKUP('Emissions Per VMT'!$I11, 'Environmental Factors2'!$B$6:$F$19, 'Environmental Factors2'!C$4, FALSE)*'Environmental Factors2'!C44</f>
        <v>288.67577197091305</v>
      </c>
      <c r="M11" s="412">
        <f>VLOOKUP('Emissions Per VMT'!$I11, 'Environmental Factors2'!$B$6:$F$19, 'Environmental Factors2'!D$4, FALSE)*'Environmental Factors2'!D44</f>
        <v>4.6554645836384335E-2</v>
      </c>
      <c r="N11" s="412">
        <f>VLOOKUP('Emissions Per VMT'!$I11, 'Environmental Factors2'!$B$6:$F$19, 'Environmental Factors2'!E$4, FALSE)*'Environmental Factors2'!E44</f>
        <v>2.8522472551798764E-3</v>
      </c>
      <c r="O11" s="412">
        <f>VLOOKUP('Emissions Per VMT'!$I11, 'Environmental Factors2'!$B$6:$F$19, 'Environmental Factors2'!F$4, FALSE)*'Environmental Factors2'!F44</f>
        <v>1.0414893123925424E-3</v>
      </c>
    </row>
    <row r="12" spans="1:16">
      <c r="A12" s="336">
        <f>ROUND('TDM Data'!$K$18*((1+'TDM Data'!$L$23)^(B12-2025)),0)</f>
        <v>29</v>
      </c>
      <c r="B12" s="138">
        <v>2032</v>
      </c>
      <c r="C12" s="411">
        <f>'VMT to VOC Savings'!B14</f>
        <v>10810171202.766911</v>
      </c>
      <c r="D12" s="412">
        <f>VLOOKUP('Emissions Per VMT'!$A12, 'Environmental Factors2'!$B$6:$F$19, 'Environmental Factors2'!C$4, FALSE)*'Environmental Factors2'!C45</f>
        <v>285.28907311052996</v>
      </c>
      <c r="E12" s="412">
        <f>VLOOKUP('Emissions Per VMT'!$A12, 'Environmental Factors2'!$B$6:$F$19, 'Environmental Factors2'!D$4, FALSE)*'Environmental Factors2'!D45</f>
        <v>4.4019054865493436E-2</v>
      </c>
      <c r="F12" s="412">
        <f>VLOOKUP('Emissions Per VMT'!$A12, 'Environmental Factors2'!$B$6:$F$19, 'Environmental Factors2'!E$4, FALSE)*'Environmental Factors2'!E45</f>
        <v>2.818508714011451E-3</v>
      </c>
      <c r="G12" s="412">
        <f>VLOOKUP('Emissions Per VMT'!$A12, 'Environmental Factors2'!$B$6:$F$19, 'Environmental Factors2'!F$4, FALSE)*'Environmental Factors2'!F45</f>
        <v>9.8860098832176174E-4</v>
      </c>
      <c r="I12" s="336">
        <f>ROUND('TDM Data'!$K$5*((1+'TDM Data'!$L$10)^(B12-2025)),0)</f>
        <v>29</v>
      </c>
      <c r="J12" s="138">
        <v>2032</v>
      </c>
      <c r="K12" s="363">
        <f>'VMT to VOC Savings'!F14</f>
        <v>10780574679.399912</v>
      </c>
      <c r="L12" s="412">
        <f>VLOOKUP('Emissions Per VMT'!$I12, 'Environmental Factors2'!$B$6:$F$19, 'Environmental Factors2'!C$4, FALSE)*'Environmental Factors2'!C45</f>
        <v>285.28907311052996</v>
      </c>
      <c r="M12" s="412">
        <f>VLOOKUP('Emissions Per VMT'!$I12, 'Environmental Factors2'!$B$6:$F$19, 'Environmental Factors2'!D$4, FALSE)*'Environmental Factors2'!D45</f>
        <v>4.4019054865493436E-2</v>
      </c>
      <c r="N12" s="412">
        <f>VLOOKUP('Emissions Per VMT'!$I12, 'Environmental Factors2'!$B$6:$F$19, 'Environmental Factors2'!E$4, FALSE)*'Environmental Factors2'!E45</f>
        <v>2.818508714011451E-3</v>
      </c>
      <c r="O12" s="412">
        <f>VLOOKUP('Emissions Per VMT'!$I12, 'Environmental Factors2'!$B$6:$F$19, 'Environmental Factors2'!F$4, FALSE)*'Environmental Factors2'!F45</f>
        <v>9.8860098832176174E-4</v>
      </c>
    </row>
    <row r="13" spans="1:16">
      <c r="A13" s="336">
        <f>ROUND('TDM Data'!$K$18*((1+'TDM Data'!$L$23)^(B13-2025)),0)</f>
        <v>29</v>
      </c>
      <c r="B13" s="138">
        <v>2033</v>
      </c>
      <c r="C13" s="411">
        <f>'VMT to VOC Savings'!B15</f>
        <v>10844223295.607086</v>
      </c>
      <c r="D13" s="412">
        <f>VLOOKUP('Emissions Per VMT'!$A13, 'Environmental Factors2'!$B$6:$F$19, 'Environmental Factors2'!C$4, FALSE)*'Environmental Factors2'!C46</f>
        <v>281.94210646976683</v>
      </c>
      <c r="E13" s="412">
        <f>VLOOKUP('Emissions Per VMT'!$A13, 'Environmental Factors2'!$B$6:$F$19, 'Environmental Factors2'!D$4, FALSE)*'Environmental Factors2'!D46</f>
        <v>4.1621564431211906E-2</v>
      </c>
      <c r="F13" s="412">
        <f>VLOOKUP('Emissions Per VMT'!$A13, 'Environmental Factors2'!$B$6:$F$19, 'Environmental Factors2'!E$4, FALSE)*'Environmental Factors2'!E46</f>
        <v>2.7851692578655827E-3</v>
      </c>
      <c r="G13" s="412">
        <f>VLOOKUP('Emissions Per VMT'!$A13, 'Environmental Factors2'!$B$6:$F$19, 'Environmental Factors2'!F$4, FALSE)*'Environmental Factors2'!F46</f>
        <v>9.3839840935631513E-4</v>
      </c>
      <c r="I13" s="336">
        <f>ROUND('TDM Data'!$K$5*((1+'TDM Data'!$L$10)^(B13-2025)),0)</f>
        <v>29</v>
      </c>
      <c r="J13" s="138">
        <v>2033</v>
      </c>
      <c r="K13" s="363">
        <f>'VMT to VOC Savings'!F15</f>
        <v>10813685404.570719</v>
      </c>
      <c r="L13" s="412">
        <f>VLOOKUP('Emissions Per VMT'!$I13, 'Environmental Factors2'!$B$6:$F$19, 'Environmental Factors2'!C$4, FALSE)*'Environmental Factors2'!C46</f>
        <v>281.94210646976683</v>
      </c>
      <c r="M13" s="412">
        <f>VLOOKUP('Emissions Per VMT'!$I13, 'Environmental Factors2'!$B$6:$F$19, 'Environmental Factors2'!D$4, FALSE)*'Environmental Factors2'!D46</f>
        <v>4.1621564431211906E-2</v>
      </c>
      <c r="N13" s="412">
        <f>VLOOKUP('Emissions Per VMT'!$I13, 'Environmental Factors2'!$B$6:$F$19, 'Environmental Factors2'!E$4, FALSE)*'Environmental Factors2'!E46</f>
        <v>2.7851692578655827E-3</v>
      </c>
      <c r="O13" s="412">
        <f>VLOOKUP('Emissions Per VMT'!$I13, 'Environmental Factors2'!$B$6:$F$19, 'Environmental Factors2'!F$4, FALSE)*'Environmental Factors2'!F46</f>
        <v>9.3839840935631513E-4</v>
      </c>
    </row>
    <row r="14" spans="1:16">
      <c r="A14" s="336">
        <f>ROUND('TDM Data'!$K$18*((1+'TDM Data'!$L$23)^(B14-2025)),0)</f>
        <v>29</v>
      </c>
      <c r="B14" s="138">
        <v>2034</v>
      </c>
      <c r="C14" s="411">
        <f>'VMT to VOC Savings'!B16</f>
        <v>10878382652.708395</v>
      </c>
      <c r="D14" s="412">
        <f>VLOOKUP('Emissions Per VMT'!$A14, 'Environmental Factors2'!$B$6:$F$19, 'Environmental Factors2'!C$4, FALSE)*'Environmental Factors2'!C47</f>
        <v>278.63440591645752</v>
      </c>
      <c r="E14" s="412">
        <f>VLOOKUP('Emissions Per VMT'!$A14, 'Environmental Factors2'!$B$6:$F$19, 'Environmental Factors2'!D$4, FALSE)*'Environmental Factors2'!D47</f>
        <v>3.9354652910994638E-2</v>
      </c>
      <c r="F14" s="412">
        <f>VLOOKUP('Emissions Per VMT'!$A14, 'Environmental Factors2'!$B$6:$F$19, 'Environmental Factors2'!E$4, FALSE)*'Environmental Factors2'!E47</f>
        <v>2.7522241660623108E-3</v>
      </c>
      <c r="G14" s="412">
        <f>VLOOKUP('Emissions Per VMT'!$A14, 'Environmental Factors2'!$B$6:$F$19, 'Environmental Factors2'!F$4, FALSE)*'Environmental Factors2'!F47</f>
        <v>8.9074518949990641E-4</v>
      </c>
      <c r="I14" s="336">
        <f>ROUND('TDM Data'!$K$5*((1+'TDM Data'!$L$10)^(B14-2025)),0)</f>
        <v>29</v>
      </c>
      <c r="J14" s="138">
        <v>2034</v>
      </c>
      <c r="K14" s="363">
        <f>'VMT to VOC Savings'!F16</f>
        <v>10846897823.77491</v>
      </c>
      <c r="L14" s="412">
        <f>VLOOKUP('Emissions Per VMT'!$I14, 'Environmental Factors2'!$B$6:$F$19, 'Environmental Factors2'!C$4, FALSE)*'Environmental Factors2'!C47</f>
        <v>278.63440591645752</v>
      </c>
      <c r="M14" s="412">
        <f>VLOOKUP('Emissions Per VMT'!$I14, 'Environmental Factors2'!$B$6:$F$19, 'Environmental Factors2'!D$4, FALSE)*'Environmental Factors2'!D47</f>
        <v>3.9354652910994638E-2</v>
      </c>
      <c r="N14" s="412">
        <f>VLOOKUP('Emissions Per VMT'!$I14, 'Environmental Factors2'!$B$6:$F$19, 'Environmental Factors2'!E$4, FALSE)*'Environmental Factors2'!E47</f>
        <v>2.7522241660623108E-3</v>
      </c>
      <c r="O14" s="412">
        <f>VLOOKUP('Emissions Per VMT'!$I14, 'Environmental Factors2'!$B$6:$F$19, 'Environmental Factors2'!F$4, FALSE)*'Environmental Factors2'!F47</f>
        <v>8.9074518949990641E-4</v>
      </c>
    </row>
    <row r="15" spans="1:16">
      <c r="A15" s="336">
        <f>ROUND('TDM Data'!$K$18*((1+'TDM Data'!$L$23)^(B15-2025)),0)</f>
        <v>28</v>
      </c>
      <c r="B15" s="138">
        <v>2035</v>
      </c>
      <c r="C15" s="411">
        <f>'VMT to VOC Savings'!B17</f>
        <v>10912649611.953793</v>
      </c>
      <c r="D15" s="412">
        <f>VLOOKUP('Emissions Per VMT'!$A15, 'Environmental Factors2'!$B$6:$F$19, 'Environmental Factors2'!C$4, FALSE)*'Environmental Factors2'!C48</f>
        <v>279.33014952424895</v>
      </c>
      <c r="E15" s="412">
        <f>VLOOKUP('Emissions Per VMT'!$A15, 'Environmental Factors2'!$B$6:$F$19, 'Environmental Factors2'!D$4, FALSE)*'Environmental Factors2'!D48</f>
        <v>3.7589261261189104E-2</v>
      </c>
      <c r="F15" s="412">
        <f>VLOOKUP('Emissions Per VMT'!$A15, 'Environmental Factors2'!$B$6:$F$19, 'Environmental Factors2'!E$4, FALSE)*'Environmental Factors2'!E48</f>
        <v>2.7196687737614518E-3</v>
      </c>
      <c r="G15" s="412">
        <f>VLOOKUP('Emissions Per VMT'!$A15, 'Environmental Factors2'!$B$6:$F$19, 'Environmental Factors2'!F$4, FALSE)*'Environmental Factors2'!F48</f>
        <v>9.0187932654201583E-4</v>
      </c>
      <c r="I15" s="336">
        <f>ROUND('TDM Data'!$K$5*((1+'TDM Data'!$L$10)^(B15-2025)),0)</f>
        <v>28</v>
      </c>
      <c r="J15" s="138">
        <v>2035</v>
      </c>
      <c r="K15" s="363">
        <f>'VMT to VOC Savings'!F17</f>
        <v>10880212249.348635</v>
      </c>
      <c r="L15" s="412">
        <f>VLOOKUP('Emissions Per VMT'!$I15, 'Environmental Factors2'!$B$6:$F$19, 'Environmental Factors2'!C$4, FALSE)*'Environmental Factors2'!C48</f>
        <v>279.33014952424895</v>
      </c>
      <c r="M15" s="412">
        <f>VLOOKUP('Emissions Per VMT'!$I15, 'Environmental Factors2'!$B$6:$F$19, 'Environmental Factors2'!D$4, FALSE)*'Environmental Factors2'!D48</f>
        <v>3.7589261261189104E-2</v>
      </c>
      <c r="N15" s="412">
        <f>VLOOKUP('Emissions Per VMT'!$I15, 'Environmental Factors2'!$B$6:$F$19, 'Environmental Factors2'!E$4, FALSE)*'Environmental Factors2'!E48</f>
        <v>2.7196687737614518E-3</v>
      </c>
      <c r="O15" s="412">
        <f>VLOOKUP('Emissions Per VMT'!$I15, 'Environmental Factors2'!$B$6:$F$19, 'Environmental Factors2'!F$4, FALSE)*'Environmental Factors2'!F48</f>
        <v>9.0187932654201583E-4</v>
      </c>
    </row>
    <row r="16" spans="1:16">
      <c r="A16" s="336">
        <f>ROUND('TDM Data'!$K$18*((1+'TDM Data'!$L$23)^(B16-2025)),0)</f>
        <v>28</v>
      </c>
      <c r="B16" s="138">
        <v>2036</v>
      </c>
      <c r="C16" s="411">
        <f>'VMT to VOC Savings'!B18</f>
        <v>10947024512.290565</v>
      </c>
      <c r="D16" s="412">
        <f>VLOOKUP('Emissions Per VMT'!$A16, 'Environmental Factors2'!$B$6:$F$19, 'Environmental Factors2'!C$4, FALSE)*'Environmental Factors2'!C49</f>
        <v>276.05309203997996</v>
      </c>
      <c r="E16" s="412">
        <f>VLOOKUP('Emissions Per VMT'!$A16, 'Environmental Factors2'!$B$6:$F$19, 'Environmental Factors2'!D$4, FALSE)*'Environmental Factors2'!D49</f>
        <v>3.5541968456271222E-2</v>
      </c>
      <c r="F16" s="412">
        <f>VLOOKUP('Emissions Per VMT'!$A16, 'Environmental Factors2'!$B$6:$F$19, 'Environmental Factors2'!E$4, FALSE)*'Environmental Factors2'!E49</f>
        <v>2.6874984713020859E-3</v>
      </c>
      <c r="G16" s="412">
        <f>VLOOKUP('Emissions Per VMT'!$A16, 'Environmental Factors2'!$B$6:$F$19, 'Environmental Factors2'!F$4, FALSE)*'Environmental Factors2'!F49</f>
        <v>8.5608059819470704E-4</v>
      </c>
      <c r="I16" s="336">
        <f>ROUND('TDM Data'!$K$5*((1+'TDM Data'!$L$10)^(B16-2025)),0)</f>
        <v>28</v>
      </c>
      <c r="J16" s="138">
        <v>2036</v>
      </c>
      <c r="K16" s="363">
        <f>'VMT to VOC Savings'!F18</f>
        <v>10913628994.58733</v>
      </c>
      <c r="L16" s="412">
        <f>VLOOKUP('Emissions Per VMT'!$I16, 'Environmental Factors2'!$B$6:$F$19, 'Environmental Factors2'!C$4, FALSE)*'Environmental Factors2'!C49</f>
        <v>276.05309203997996</v>
      </c>
      <c r="M16" s="412">
        <f>VLOOKUP('Emissions Per VMT'!$I16, 'Environmental Factors2'!$B$6:$F$19, 'Environmental Factors2'!D$4, FALSE)*'Environmental Factors2'!D49</f>
        <v>3.5541968456271222E-2</v>
      </c>
      <c r="N16" s="412">
        <f>VLOOKUP('Emissions Per VMT'!$I16, 'Environmental Factors2'!$B$6:$F$19, 'Environmental Factors2'!E$4, FALSE)*'Environmental Factors2'!E49</f>
        <v>2.6874984713020859E-3</v>
      </c>
      <c r="O16" s="412">
        <f>VLOOKUP('Emissions Per VMT'!$I16, 'Environmental Factors2'!$B$6:$F$19, 'Environmental Factors2'!F$4, FALSE)*'Environmental Factors2'!F49</f>
        <v>8.5608059819470704E-4</v>
      </c>
    </row>
    <row r="17" spans="1:15">
      <c r="A17" s="336">
        <f>ROUND('TDM Data'!$K$18*((1+'TDM Data'!$L$23)^(B17-2025)),0)</f>
        <v>28</v>
      </c>
      <c r="B17" s="138">
        <v>2037</v>
      </c>
      <c r="C17" s="411">
        <f>'VMT to VOC Savings'!B19</f>
        <v>10981507693.733685</v>
      </c>
      <c r="D17" s="412">
        <f>VLOOKUP('Emissions Per VMT'!$A17, 'Environmental Factors2'!$B$6:$F$19, 'Environmental Factors2'!C$4, FALSE)*'Environmental Factors2'!C50</f>
        <v>272.81448047991029</v>
      </c>
      <c r="E17" s="412">
        <f>VLOOKUP('Emissions Per VMT'!$A17, 'Environmental Factors2'!$B$6:$F$19, 'Environmental Factors2'!D$4, FALSE)*'Environmental Factors2'!D50</f>
        <v>3.3606181110317927E-2</v>
      </c>
      <c r="F17" s="412">
        <f>VLOOKUP('Emissions Per VMT'!$A17, 'Environmental Factors2'!$B$6:$F$19, 'Environmental Factors2'!E$4, FALSE)*'Environmental Factors2'!E50</f>
        <v>2.6557087035498548E-3</v>
      </c>
      <c r="G17" s="412">
        <f>VLOOKUP('Emissions Per VMT'!$A17, 'Environmental Factors2'!$B$6:$F$19, 'Environmental Factors2'!F$4, FALSE)*'Environmental Factors2'!F50</f>
        <v>8.1260759509300604E-4</v>
      </c>
      <c r="I17" s="336">
        <f>ROUND('TDM Data'!$K$5*((1+'TDM Data'!$L$10)^(B17-2025)),0)</f>
        <v>28</v>
      </c>
      <c r="J17" s="138">
        <v>2037</v>
      </c>
      <c r="K17" s="363">
        <f>'VMT to VOC Savings'!F19</f>
        <v>10947148373.748669</v>
      </c>
      <c r="L17" s="412">
        <f>VLOOKUP('Emissions Per VMT'!$I17, 'Environmental Factors2'!$B$6:$F$19, 'Environmental Factors2'!C$4, FALSE)*'Environmental Factors2'!C50</f>
        <v>272.81448047991029</v>
      </c>
      <c r="M17" s="412">
        <f>VLOOKUP('Emissions Per VMT'!$I17, 'Environmental Factors2'!$B$6:$F$19, 'Environmental Factors2'!D$4, FALSE)*'Environmental Factors2'!D50</f>
        <v>3.3606181110317927E-2</v>
      </c>
      <c r="N17" s="412">
        <f>VLOOKUP('Emissions Per VMT'!$I17, 'Environmental Factors2'!$B$6:$F$19, 'Environmental Factors2'!E$4, FALSE)*'Environmental Factors2'!E50</f>
        <v>2.6557087035498548E-3</v>
      </c>
      <c r="O17" s="412">
        <f>VLOOKUP('Emissions Per VMT'!$I17, 'Environmental Factors2'!$B$6:$F$19, 'Environmental Factors2'!F$4, FALSE)*'Environmental Factors2'!F50</f>
        <v>8.1260759509300604E-4</v>
      </c>
    </row>
    <row r="18" spans="1:15">
      <c r="A18" s="336">
        <f>ROUND('TDM Data'!$K$18*((1+'TDM Data'!$L$23)^(B18-2025)),0)</f>
        <v>28</v>
      </c>
      <c r="B18" s="138">
        <v>2038</v>
      </c>
      <c r="C18" s="411">
        <f>'VMT to VOC Savings'!B20</f>
        <v>11016099497.369173</v>
      </c>
      <c r="D18" s="412">
        <f>VLOOKUP('Emissions Per VMT'!$A18, 'Environmental Factors2'!$B$6:$F$19, 'Environmental Factors2'!C$4, FALSE)*'Environmental Factors2'!C51</f>
        <v>269.61386380248985</v>
      </c>
      <c r="E18" s="412">
        <f>VLOOKUP('Emissions Per VMT'!$A18, 'Environmental Factors2'!$B$6:$F$19, 'Environmental Factors2'!D$4, FALSE)*'Environmental Factors2'!D51</f>
        <v>3.1775826097223826E-2</v>
      </c>
      <c r="F18" s="412">
        <f>VLOOKUP('Emissions Per VMT'!$A18, 'Environmental Factors2'!$B$6:$F$19, 'Environmental Factors2'!E$4, FALSE)*'Environmental Factors2'!E51</f>
        <v>2.62429496925198E-3</v>
      </c>
      <c r="G18" s="412">
        <f>VLOOKUP('Emissions Per VMT'!$A18, 'Environmental Factors2'!$B$6:$F$19, 'Environmental Factors2'!F$4, FALSE)*'Environmental Factors2'!F51</f>
        <v>7.7134221356650004E-4</v>
      </c>
      <c r="I18" s="336">
        <f>ROUND('TDM Data'!$K$5*((1+'TDM Data'!$L$10)^(B18-2025)),0)</f>
        <v>28</v>
      </c>
      <c r="J18" s="138">
        <v>2038</v>
      </c>
      <c r="K18" s="363">
        <f>'VMT to VOC Savings'!F20</f>
        <v>10980770702.055513</v>
      </c>
      <c r="L18" s="412">
        <f>VLOOKUP('Emissions Per VMT'!$I18, 'Environmental Factors2'!$B$6:$F$19, 'Environmental Factors2'!C$4, FALSE)*'Environmental Factors2'!C51</f>
        <v>269.61386380248985</v>
      </c>
      <c r="M18" s="412">
        <f>VLOOKUP('Emissions Per VMT'!$I18, 'Environmental Factors2'!$B$6:$F$19, 'Environmental Factors2'!D$4, FALSE)*'Environmental Factors2'!D51</f>
        <v>3.1775826097223826E-2</v>
      </c>
      <c r="N18" s="412">
        <f>VLOOKUP('Emissions Per VMT'!$I18, 'Environmental Factors2'!$B$6:$F$19, 'Environmental Factors2'!E$4, FALSE)*'Environmental Factors2'!E51</f>
        <v>2.62429496925198E-3</v>
      </c>
      <c r="O18" s="412">
        <f>VLOOKUP('Emissions Per VMT'!$I18, 'Environmental Factors2'!$B$6:$F$19, 'Environmental Factors2'!F$4, FALSE)*'Environmental Factors2'!F51</f>
        <v>7.7134221356650004E-4</v>
      </c>
    </row>
    <row r="19" spans="1:15">
      <c r="A19" s="336">
        <f>ROUND('TDM Data'!$K$18*((1+'TDM Data'!$L$23)^(B19-2025)),0)</f>
        <v>28</v>
      </c>
      <c r="B19" s="138">
        <v>2039</v>
      </c>
      <c r="C19" s="411">
        <f>'VMT to VOC Savings'!B21</f>
        <v>11050800265.357473</v>
      </c>
      <c r="D19" s="412">
        <f>VLOOKUP('Emissions Per VMT'!$A19, 'Environmental Factors2'!$B$6:$F$19, 'Environmental Factors2'!C$4, FALSE)*'Environmental Factors2'!C52</f>
        <v>266.45079625771723</v>
      </c>
      <c r="E19" s="412">
        <f>VLOOKUP('Emissions Per VMT'!$A19, 'Environmental Factors2'!$B$6:$F$19, 'Environmental Factors2'!D$4, FALSE)*'Environmental Factors2'!D52</f>
        <v>3.0045161062677461E-2</v>
      </c>
      <c r="F19" s="412">
        <f>VLOOKUP('Emissions Per VMT'!$A19, 'Environmental Factors2'!$B$6:$F$19, 'Environmental Factors2'!E$4, FALSE)*'Environmental Factors2'!E52</f>
        <v>2.5932528203999106E-3</v>
      </c>
      <c r="G19" s="412">
        <f>VLOOKUP('Emissions Per VMT'!$A19, 'Environmental Factors2'!$B$6:$F$19, 'Environmental Factors2'!F$4, FALSE)*'Environmental Factors2'!F52</f>
        <v>7.321723474188939E-4</v>
      </c>
      <c r="I19" s="336">
        <f>ROUND('TDM Data'!$K$5*((1+'TDM Data'!$L$10)^(B19-2025)),0)</f>
        <v>28</v>
      </c>
      <c r="J19" s="138">
        <v>2039</v>
      </c>
      <c r="K19" s="363">
        <f>'VMT to VOC Savings'!F21</f>
        <v>11014496295.698881</v>
      </c>
      <c r="L19" s="412">
        <f>VLOOKUP('Emissions Per VMT'!$I19, 'Environmental Factors2'!$B$6:$F$19, 'Environmental Factors2'!C$4, FALSE)*'Environmental Factors2'!C52</f>
        <v>266.45079625771723</v>
      </c>
      <c r="M19" s="412">
        <f>VLOOKUP('Emissions Per VMT'!$I19, 'Environmental Factors2'!$B$6:$F$19, 'Environmental Factors2'!D$4, FALSE)*'Environmental Factors2'!D52</f>
        <v>3.0045161062677461E-2</v>
      </c>
      <c r="N19" s="412">
        <f>VLOOKUP('Emissions Per VMT'!$I19, 'Environmental Factors2'!$B$6:$F$19, 'Environmental Factors2'!E$4, FALSE)*'Environmental Factors2'!E52</f>
        <v>2.5932528203999106E-3</v>
      </c>
      <c r="O19" s="412">
        <f>VLOOKUP('Emissions Per VMT'!$I19, 'Environmental Factors2'!$B$6:$F$19, 'Environmental Factors2'!F$4, FALSE)*'Environmental Factors2'!F52</f>
        <v>7.321723474188939E-4</v>
      </c>
    </row>
    <row r="20" spans="1:15">
      <c r="A20" s="336">
        <f>ROUND('TDM Data'!$K$18*((1+'TDM Data'!$L$23)^(B20-2025)),0)</f>
        <v>28</v>
      </c>
      <c r="B20" s="138">
        <v>2040</v>
      </c>
      <c r="C20" s="411">
        <f>'VMT to VOC Savings'!B22</f>
        <v>11085610340.936838</v>
      </c>
      <c r="D20" s="412">
        <f>VLOOKUP('Emissions Per VMT'!$A20, 'Environmental Factors2'!$B$6:$F$19, 'Environmental Factors2'!C$4, FALSE)*'Environmental Factors2'!C53</f>
        <v>263.32483732506</v>
      </c>
      <c r="E20" s="412">
        <f>VLOOKUP('Emissions Per VMT'!$A20, 'Environmental Factors2'!$B$6:$F$19, 'Environmental Factors2'!D$4, FALSE)*'Environmental Factors2'!D53</f>
        <v>2.8408756408731018E-2</v>
      </c>
      <c r="F20" s="412">
        <f>VLOOKUP('Emissions Per VMT'!$A20, 'Environmental Factors2'!$B$6:$F$19, 'Environmental Factors2'!E$4, FALSE)*'Environmental Factors2'!E53</f>
        <v>2.56257786159951E-3</v>
      </c>
      <c r="G20" s="412">
        <f>VLOOKUP('Emissions Per VMT'!$A20, 'Environmental Factors2'!$B$6:$F$19, 'Environmental Factors2'!F$4, FALSE)*'Environmental Factors2'!F53</f>
        <v>6.9499158336765448E-4</v>
      </c>
      <c r="I20" s="336">
        <f>ROUND('TDM Data'!$K$5*((1+'TDM Data'!$L$10)^(B20-2025)),0)</f>
        <v>28</v>
      </c>
      <c r="J20" s="138">
        <v>2040</v>
      </c>
      <c r="K20" s="363">
        <f>'VMT to VOC Savings'!F22</f>
        <v>11048325471.840914</v>
      </c>
      <c r="L20" s="412">
        <f>VLOOKUP('Emissions Per VMT'!$I20, 'Environmental Factors2'!$B$6:$F$19, 'Environmental Factors2'!C$4, FALSE)*'Environmental Factors2'!C53</f>
        <v>263.32483732506</v>
      </c>
      <c r="M20" s="412">
        <f>VLOOKUP('Emissions Per VMT'!$I20, 'Environmental Factors2'!$B$6:$F$19, 'Environmental Factors2'!D$4, FALSE)*'Environmental Factors2'!D53</f>
        <v>2.8408756408731018E-2</v>
      </c>
      <c r="N20" s="412">
        <f>VLOOKUP('Emissions Per VMT'!$I20, 'Environmental Factors2'!$B$6:$F$19, 'Environmental Factors2'!E$4, FALSE)*'Environmental Factors2'!E53</f>
        <v>2.56257786159951E-3</v>
      </c>
      <c r="O20" s="412">
        <f>VLOOKUP('Emissions Per VMT'!$I20, 'Environmental Factors2'!$B$6:$F$19, 'Environmental Factors2'!F$4, FALSE)*'Environmental Factors2'!F53</f>
        <v>6.9499158336765448E-4</v>
      </c>
    </row>
    <row r="21" spans="1:15">
      <c r="A21" s="336">
        <f>ROUND('TDM Data'!$K$18*((1+'TDM Data'!$L$23)^(B21-2025)),0)</f>
        <v>28</v>
      </c>
      <c r="B21" s="138">
        <v>2041</v>
      </c>
      <c r="C21" s="411">
        <f>'VMT to VOC Savings'!B23</f>
        <v>11120530068.42672</v>
      </c>
      <c r="D21" s="412">
        <f>VLOOKUP('Emissions Per VMT'!$A21, 'Environmental Factors2'!$B$6:$F$19, 'Environmental Factors2'!C$4, FALSE)*'Environmental Factors2'!C54</f>
        <v>260.23555165210371</v>
      </c>
      <c r="E21" s="412">
        <f>VLOOKUP('Emissions Per VMT'!$A21, 'Environmental Factors2'!$B$6:$F$19, 'Environmental Factors2'!D$4, FALSE)*'Environmental Factors2'!D54</f>
        <v>2.686147825957752E-2</v>
      </c>
      <c r="F21" s="412">
        <f>VLOOKUP('Emissions Per VMT'!$A21, 'Environmental Factors2'!$B$6:$F$19, 'Environmental Factors2'!E$4, FALSE)*'Environmental Factors2'!E54</f>
        <v>2.5322657494486938E-3</v>
      </c>
      <c r="G21" s="412">
        <f>VLOOKUP('Emissions Per VMT'!$A21, 'Environmental Factors2'!$B$6:$F$19, 'Environmental Factors2'!F$4, FALSE)*'Environmental Factors2'!F54</f>
        <v>6.5969891194966922E-4</v>
      </c>
      <c r="I21" s="336">
        <f>ROUND('TDM Data'!$K$5*((1+'TDM Data'!$L$10)^(B21-2025)),0)</f>
        <v>28</v>
      </c>
      <c r="J21" s="138">
        <v>2041</v>
      </c>
      <c r="K21" s="363">
        <f>'VMT to VOC Savings'!F23</f>
        <v>11082258548.617867</v>
      </c>
      <c r="L21" s="412">
        <f>VLOOKUP('Emissions Per VMT'!$I21, 'Environmental Factors2'!$B$6:$F$19, 'Environmental Factors2'!C$4, FALSE)*'Environmental Factors2'!C54</f>
        <v>260.23555165210371</v>
      </c>
      <c r="M21" s="412">
        <f>VLOOKUP('Emissions Per VMT'!$I21, 'Environmental Factors2'!$B$6:$F$19, 'Environmental Factors2'!D$4, FALSE)*'Environmental Factors2'!D54</f>
        <v>2.686147825957752E-2</v>
      </c>
      <c r="N21" s="412">
        <f>VLOOKUP('Emissions Per VMT'!$I21, 'Environmental Factors2'!$B$6:$F$19, 'Environmental Factors2'!E$4, FALSE)*'Environmental Factors2'!E54</f>
        <v>2.5322657494486938E-3</v>
      </c>
      <c r="O21" s="412">
        <f>VLOOKUP('Emissions Per VMT'!$I21, 'Environmental Factors2'!$B$6:$F$19, 'Environmental Factors2'!F$4, FALSE)*'Environmental Factors2'!F54</f>
        <v>6.5969891194966922E-4</v>
      </c>
    </row>
    <row r="22" spans="1:15">
      <c r="A22" s="336">
        <f>ROUND('TDM Data'!$K$18*((1+'TDM Data'!$L$23)^(B22-2025)),0)</f>
        <v>28</v>
      </c>
      <c r="B22" s="138">
        <v>2042</v>
      </c>
      <c r="C22" s="411">
        <f>'VMT to VOC Savings'!B24</f>
        <v>11155559793.23118</v>
      </c>
      <c r="D22" s="412">
        <f>VLOOKUP('Emissions Per VMT'!$A22, 'Environmental Factors2'!$B$6:$F$19, 'Environmental Factors2'!C$4, FALSE)*'Environmental Factors2'!C55</f>
        <v>257.18250899391984</v>
      </c>
      <c r="E22" s="412">
        <f>VLOOKUP('Emissions Per VMT'!$A22, 'Environmental Factors2'!$B$6:$F$19, 'Environmental Factors2'!D$4, FALSE)*'Environmental Factors2'!D55</f>
        <v>2.5398472355094057E-2</v>
      </c>
      <c r="F22" s="412">
        <f>VLOOKUP('Emissions Per VMT'!$A22, 'Environmental Factors2'!$B$6:$F$19, 'Environmental Factors2'!E$4, FALSE)*'Environmental Factors2'!E55</f>
        <v>2.5023121919224263E-3</v>
      </c>
      <c r="G22" s="412">
        <f>VLOOKUP('Emissions Per VMT'!$A22, 'Environmental Factors2'!$B$6:$F$19, 'Environmental Factors2'!F$4, FALSE)*'Environmental Factors2'!F55</f>
        <v>6.2619845310752883E-4</v>
      </c>
      <c r="I22" s="336">
        <f>ROUND('TDM Data'!$K$5*((1+'TDM Data'!$L$10)^(B22-2025)),0)</f>
        <v>28</v>
      </c>
      <c r="J22" s="138">
        <v>2042</v>
      </c>
      <c r="K22" s="363">
        <f>'VMT to VOC Savings'!F24</f>
        <v>11116295845.143097</v>
      </c>
      <c r="L22" s="412">
        <f>VLOOKUP('Emissions Per VMT'!$I22, 'Environmental Factors2'!$B$6:$F$19, 'Environmental Factors2'!C$4, FALSE)*'Environmental Factors2'!C55</f>
        <v>257.18250899391984</v>
      </c>
      <c r="M22" s="412">
        <f>VLOOKUP('Emissions Per VMT'!$I22, 'Environmental Factors2'!$B$6:$F$19, 'Environmental Factors2'!D$4, FALSE)*'Environmental Factors2'!D55</f>
        <v>2.5398472355094057E-2</v>
      </c>
      <c r="N22" s="412">
        <f>VLOOKUP('Emissions Per VMT'!$I22, 'Environmental Factors2'!$B$6:$F$19, 'Environmental Factors2'!E$4, FALSE)*'Environmental Factors2'!E55</f>
        <v>2.5023121919224263E-3</v>
      </c>
      <c r="O22" s="412">
        <f>VLOOKUP('Emissions Per VMT'!$I22, 'Environmental Factors2'!$B$6:$F$19, 'Environmental Factors2'!F$4, FALSE)*'Environmental Factors2'!F55</f>
        <v>6.2619845310752883E-4</v>
      </c>
    </row>
    <row r="23" spans="1:15">
      <c r="A23" s="336">
        <f>ROUND('TDM Data'!$K$18*((1+'TDM Data'!$L$23)^(B23-2025)),0)</f>
        <v>28</v>
      </c>
      <c r="B23" s="138">
        <v>2043</v>
      </c>
      <c r="C23" s="411">
        <f>'VMT to VOC Savings'!B25</f>
        <v>11190699861.842306</v>
      </c>
      <c r="D23" s="412">
        <f>VLOOKUP('Emissions Per VMT'!$A23, 'Environmental Factors2'!$B$6:$F$19, 'Environmental Factors2'!C$4, FALSE)*'Environmental Factors2'!C56</f>
        <v>254.1652841531461</v>
      </c>
      <c r="E23" s="412">
        <f>VLOOKUP('Emissions Per VMT'!$A23, 'Environmental Factors2'!$B$6:$F$19, 'Environmental Factors2'!D$4, FALSE)*'Environmental Factors2'!D56</f>
        <v>2.401514882162047E-2</v>
      </c>
      <c r="F23" s="412">
        <f>VLOOKUP('Emissions Per VMT'!$A23, 'Environmental Factors2'!$B$6:$F$19, 'Environmental Factors2'!E$4, FALSE)*'Environmental Factors2'!E56</f>
        <v>2.4727129477649964E-3</v>
      </c>
      <c r="G23" s="412">
        <f>VLOOKUP('Emissions Per VMT'!$A23, 'Environmental Factors2'!$B$6:$F$19, 'Environmental Factors2'!F$4, FALSE)*'Environmental Factors2'!F56</f>
        <v>5.9439919571093445E-4</v>
      </c>
      <c r="I23" s="336">
        <f>ROUND('TDM Data'!$K$5*((1+'TDM Data'!$L$10)^(B23-2025)),0)</f>
        <v>28</v>
      </c>
      <c r="J23" s="138">
        <v>2043</v>
      </c>
      <c r="K23" s="363">
        <f>'VMT to VOC Savings'!F25</f>
        <v>11150437681.510063</v>
      </c>
      <c r="L23" s="412">
        <f>VLOOKUP('Emissions Per VMT'!$I23, 'Environmental Factors2'!$B$6:$F$19, 'Environmental Factors2'!C$4, FALSE)*'Environmental Factors2'!C56</f>
        <v>254.1652841531461</v>
      </c>
      <c r="M23" s="412">
        <f>VLOOKUP('Emissions Per VMT'!$I23, 'Environmental Factors2'!$B$6:$F$19, 'Environmental Factors2'!D$4, FALSE)*'Environmental Factors2'!D56</f>
        <v>2.401514882162047E-2</v>
      </c>
      <c r="N23" s="412">
        <f>VLOOKUP('Emissions Per VMT'!$I23, 'Environmental Factors2'!$B$6:$F$19, 'Environmental Factors2'!E$4, FALSE)*'Environmental Factors2'!E56</f>
        <v>2.4727129477649964E-3</v>
      </c>
      <c r="O23" s="412">
        <f>VLOOKUP('Emissions Per VMT'!$I23, 'Environmental Factors2'!$B$6:$F$19, 'Environmental Factors2'!F$4, FALSE)*'Environmental Factors2'!F56</f>
        <v>5.9439919571093445E-4</v>
      </c>
    </row>
    <row r="24" spans="1:15">
      <c r="A24" s="336">
        <f>ROUND('TDM Data'!$K$18*((1+'TDM Data'!$L$23)^(B24-2025)),0)</f>
        <v>28</v>
      </c>
      <c r="B24" s="138">
        <v>2044</v>
      </c>
      <c r="C24" s="411">
        <f>'VMT to VOC Savings'!B26</f>
        <v>11225950621.843634</v>
      </c>
      <c r="D24" s="412">
        <f>VLOOKUP('Emissions Per VMT'!$A24, 'Environmental Factors2'!$B$6:$F$19, 'Environmental Factors2'!C$4, FALSE)*'Environmental Factors2'!C57</f>
        <v>251.1834569207688</v>
      </c>
      <c r="E24" s="412">
        <f>VLOOKUP('Emissions Per VMT'!$A24, 'Environmental Factors2'!$B$6:$F$19, 'Environmental Factors2'!D$4, FALSE)*'Environmental Factors2'!D57</f>
        <v>2.2707167772195069E-2</v>
      </c>
      <c r="F24" s="412">
        <f>VLOOKUP('Emissions Per VMT'!$A24, 'Environmental Factors2'!$B$6:$F$19, 'Environmental Factors2'!E$4, FALSE)*'Environmental Factors2'!E57</f>
        <v>2.4434638258894778E-3</v>
      </c>
      <c r="G24" s="412">
        <f>VLOOKUP('Emissions Per VMT'!$A24, 'Environmental Factors2'!$B$6:$F$19, 'Environmental Factors2'!F$4, FALSE)*'Environmental Factors2'!F57</f>
        <v>5.642147503055815E-4</v>
      </c>
      <c r="I24" s="336">
        <f>ROUND('TDM Data'!$K$5*((1+'TDM Data'!$L$10)^(B24-2025)),0)</f>
        <v>28</v>
      </c>
      <c r="J24" s="138">
        <v>2044</v>
      </c>
      <c r="K24" s="363">
        <f>'VMT to VOC Savings'!F26</f>
        <v>11184684378.795338</v>
      </c>
      <c r="L24" s="412">
        <f>VLOOKUP('Emissions Per VMT'!$I24, 'Environmental Factors2'!$B$6:$F$19, 'Environmental Factors2'!C$4, FALSE)*'Environmental Factors2'!C57</f>
        <v>251.1834569207688</v>
      </c>
      <c r="M24" s="412">
        <f>VLOOKUP('Emissions Per VMT'!$I24, 'Environmental Factors2'!$B$6:$F$19, 'Environmental Factors2'!D$4, FALSE)*'Environmental Factors2'!D57</f>
        <v>2.2707167772195069E-2</v>
      </c>
      <c r="N24" s="412">
        <f>VLOOKUP('Emissions Per VMT'!$I24, 'Environmental Factors2'!$B$6:$F$19, 'Environmental Factors2'!E$4, FALSE)*'Environmental Factors2'!E57</f>
        <v>2.4434638258894778E-3</v>
      </c>
      <c r="O24" s="412">
        <f>VLOOKUP('Emissions Per VMT'!$I24, 'Environmental Factors2'!$B$6:$F$19, 'Environmental Factors2'!F$4, FALSE)*'Environmental Factors2'!F57</f>
        <v>5.642147503055815E-4</v>
      </c>
    </row>
    <row r="25" spans="1:15">
      <c r="A25" s="336">
        <f>ROUND('TDM Data'!$K$18*((1+'TDM Data'!$L$23)^(B25-2025)),0)</f>
        <v>28</v>
      </c>
      <c r="B25" s="138">
        <v>2045</v>
      </c>
      <c r="C25" s="411">
        <f>'VMT to VOC Savings'!B27</f>
        <v>11261312421.913591</v>
      </c>
      <c r="D25" s="412">
        <f>VLOOKUP('Emissions Per VMT'!$A25, 'Environmental Factors2'!$B$6:$F$19, 'Environmental Factors2'!C$4, FALSE)*'Environmental Factors2'!C58</f>
        <v>248.23661201760052</v>
      </c>
      <c r="E25" s="412">
        <f>VLOOKUP('Emissions Per VMT'!$A25, 'Environmental Factors2'!$B$6:$F$19, 'Environmental Factors2'!D$4, FALSE)*'Environmental Factors2'!D58</f>
        <v>2.1470425691071028E-2</v>
      </c>
      <c r="F25" s="412">
        <f>VLOOKUP('Emissions Per VMT'!$A25, 'Environmental Factors2'!$B$6:$F$19, 'Environmental Factors2'!E$4, FALSE)*'Environmental Factors2'!E58</f>
        <v>2.4145606847842962E-3</v>
      </c>
      <c r="G25" s="412">
        <f>VLOOKUP('Emissions Per VMT'!$A25, 'Environmental Factors2'!$B$6:$F$19, 'Environmental Factors2'!F$4, FALSE)*'Environmental Factors2'!F58</f>
        <v>5.3556311441781048E-4</v>
      </c>
      <c r="I25" s="336">
        <f>ROUND('TDM Data'!$K$5*((1+'TDM Data'!$L$10)^(B25-2025)),0)</f>
        <v>28</v>
      </c>
      <c r="J25" s="138">
        <v>2045</v>
      </c>
      <c r="K25" s="363">
        <f>'VMT to VOC Savings'!F27</f>
        <v>11219036259.061625</v>
      </c>
      <c r="L25" s="412">
        <f>VLOOKUP('Emissions Per VMT'!$I25, 'Environmental Factors2'!$B$6:$F$19, 'Environmental Factors2'!C$4, FALSE)*'Environmental Factors2'!C58</f>
        <v>248.23661201760052</v>
      </c>
      <c r="M25" s="412">
        <f>VLOOKUP('Emissions Per VMT'!$I25, 'Environmental Factors2'!$B$6:$F$19, 'Environmental Factors2'!D$4, FALSE)*'Environmental Factors2'!D58</f>
        <v>2.1470425691071028E-2</v>
      </c>
      <c r="N25" s="412">
        <f>VLOOKUP('Emissions Per VMT'!$I25, 'Environmental Factors2'!$B$6:$F$19, 'Environmental Factors2'!E$4, FALSE)*'Environmental Factors2'!E58</f>
        <v>2.4145606847842962E-3</v>
      </c>
      <c r="O25" s="412">
        <f>VLOOKUP('Emissions Per VMT'!$I25, 'Environmental Factors2'!$B$6:$F$19, 'Environmental Factors2'!F$4, FALSE)*'Environmental Factors2'!F58</f>
        <v>5.3556311441781048E-4</v>
      </c>
    </row>
    <row r="26" spans="1:15">
      <c r="A26" s="336">
        <f>ROUND('TDM Data'!$K$18*((1+'TDM Data'!$L$23)^(B26-2025)),0)</f>
        <v>28</v>
      </c>
      <c r="B26" s="138">
        <v>2046</v>
      </c>
      <c r="C26" s="411">
        <f>'VMT to VOC Savings'!B28</f>
        <v>11296785611.828943</v>
      </c>
      <c r="D26" s="412">
        <f>VLOOKUP('Emissions Per VMT'!$A26, 'Environmental Factors2'!$B$6:$F$19, 'Environmental Factors2'!C$4, FALSE)*'Environmental Factors2'!C59</f>
        <v>245.32433903644406</v>
      </c>
      <c r="E26" s="412">
        <f>VLOOKUP('Emissions Per VMT'!$A26, 'Environmental Factors2'!$B$6:$F$19, 'Environmental Factors2'!D$4, FALSE)*'Environmental Factors2'!D59</f>
        <v>2.0301042559797877E-2</v>
      </c>
      <c r="F26" s="412">
        <f>VLOOKUP('Emissions Per VMT'!$A26, 'Environmental Factors2'!$B$6:$F$19, 'Environmental Factors2'!E$4, FALSE)*'Environmental Factors2'!E59</f>
        <v>2.3859994319268122E-3</v>
      </c>
      <c r="G26" s="412">
        <f>VLOOKUP('Emissions Per VMT'!$A26, 'Environmental Factors2'!$B$6:$F$19, 'Environmental Factors2'!F$4, FALSE)*'Environmental Factors2'!F59</f>
        <v>5.0836644977742494E-4</v>
      </c>
      <c r="I26" s="336">
        <f>ROUND('TDM Data'!$K$5*((1+'TDM Data'!$L$10)^(B26-2025)),0)</f>
        <v>28</v>
      </c>
      <c r="J26" s="138">
        <v>2046</v>
      </c>
      <c r="K26" s="363">
        <f>'VMT to VOC Savings'!F28</f>
        <v>11253493645.360792</v>
      </c>
      <c r="L26" s="412">
        <f>VLOOKUP('Emissions Per VMT'!$I26, 'Environmental Factors2'!$B$6:$F$19, 'Environmental Factors2'!C$4, FALSE)*'Environmental Factors2'!C59</f>
        <v>245.32433903644406</v>
      </c>
      <c r="M26" s="412">
        <f>VLOOKUP('Emissions Per VMT'!$I26, 'Environmental Factors2'!$B$6:$F$19, 'Environmental Factors2'!D$4, FALSE)*'Environmental Factors2'!D59</f>
        <v>2.0301042559797877E-2</v>
      </c>
      <c r="N26" s="412">
        <f>VLOOKUP('Emissions Per VMT'!$I26, 'Environmental Factors2'!$B$6:$F$19, 'Environmental Factors2'!E$4, FALSE)*'Environmental Factors2'!E59</f>
        <v>2.3859994319268122E-3</v>
      </c>
      <c r="O26" s="412">
        <f>VLOOKUP('Emissions Per VMT'!$I26, 'Environmental Factors2'!$B$6:$F$19, 'Environmental Factors2'!F$4, FALSE)*'Environmental Factors2'!F59</f>
        <v>5.0836644977742494E-4</v>
      </c>
    </row>
    <row r="27" spans="1:15">
      <c r="A27" s="336">
        <f>ROUND('TDM Data'!$K$18*((1+'TDM Data'!$L$23)^(B27-2025)),0)</f>
        <v>28</v>
      </c>
      <c r="B27" s="138">
        <v>2047</v>
      </c>
      <c r="C27" s="411">
        <f>'VMT to VOC Savings'!B29</f>
        <v>11332370542.468256</v>
      </c>
      <c r="D27" s="412">
        <f>VLOOKUP('Emissions Per VMT'!$A27, 'Environmental Factors2'!$B$6:$F$19, 'Environmental Factors2'!C$4, FALSE)*'Environmental Factors2'!C60</f>
        <v>242.44623238493509</v>
      </c>
      <c r="E27" s="412">
        <f>VLOOKUP('Emissions Per VMT'!$A27, 'Environmental Factors2'!$B$6:$F$19, 'Environmental Factors2'!D$4, FALSE)*'Environmental Factors2'!D60</f>
        <v>1.9195349684478752E-2</v>
      </c>
      <c r="F27" s="412">
        <f>VLOOKUP('Emissions Per VMT'!$A27, 'Environmental Factors2'!$B$6:$F$19, 'Environmental Factors2'!E$4, FALSE)*'Environmental Factors2'!E60</f>
        <v>2.3577760232038453E-3</v>
      </c>
      <c r="G27" s="412">
        <f>VLOOKUP('Emissions Per VMT'!$A27, 'Environmental Factors2'!$B$6:$F$19, 'Environmental Factors2'!F$4, FALSE)*'Environmental Factors2'!F60</f>
        <v>4.8255087085345515E-4</v>
      </c>
      <c r="I27" s="336">
        <f>ROUND('TDM Data'!$K$5*((1+'TDM Data'!$L$10)^(B27-2025)),0)</f>
        <v>28</v>
      </c>
      <c r="J27" s="138">
        <v>2047</v>
      </c>
      <c r="K27" s="363">
        <f>'VMT to VOC Savings'!F29</f>
        <v>11288056861.736908</v>
      </c>
      <c r="L27" s="412">
        <f>VLOOKUP('Emissions Per VMT'!$I27, 'Environmental Factors2'!$B$6:$F$19, 'Environmental Factors2'!C$4, FALSE)*'Environmental Factors2'!C60</f>
        <v>242.44623238493509</v>
      </c>
      <c r="M27" s="412">
        <f>VLOOKUP('Emissions Per VMT'!$I27, 'Environmental Factors2'!$B$6:$F$19, 'Environmental Factors2'!D$4, FALSE)*'Environmental Factors2'!D60</f>
        <v>1.9195349684478752E-2</v>
      </c>
      <c r="N27" s="412">
        <f>VLOOKUP('Emissions Per VMT'!$I27, 'Environmental Factors2'!$B$6:$F$19, 'Environmental Factors2'!E$4, FALSE)*'Environmental Factors2'!E60</f>
        <v>2.3577760232038453E-3</v>
      </c>
      <c r="O27" s="412">
        <f>VLOOKUP('Emissions Per VMT'!$I27, 'Environmental Factors2'!$B$6:$F$19, 'Environmental Factors2'!F$4, FALSE)*'Environmental Factors2'!F60</f>
        <v>4.8255087085345515E-4</v>
      </c>
    </row>
    <row r="28" spans="1:15">
      <c r="A28" s="336">
        <f>ROUND('TDM Data'!$K$18*((1+'TDM Data'!$L$23)^(B28-2025)),0)</f>
        <v>27</v>
      </c>
      <c r="B28" s="138">
        <v>2048</v>
      </c>
      <c r="C28" s="411">
        <f>'VMT to VOC Savings'!B30</f>
        <v>11368067565.815363</v>
      </c>
      <c r="D28" s="412">
        <f>VLOOKUP('Emissions Per VMT'!$A28, 'Environmental Factors2'!$B$6:$F$19, 'Environmental Factors2'!C$4, FALSE)*'Environmental Factors2'!C61</f>
        <v>243.05161930713896</v>
      </c>
      <c r="E28" s="412">
        <f>VLOOKUP('Emissions Per VMT'!$A28, 'Environmental Factors2'!$B$6:$F$19, 'Environmental Factors2'!D$4, FALSE)*'Environmental Factors2'!D61</f>
        <v>1.8332420064321675E-2</v>
      </c>
      <c r="F28" s="412">
        <f>VLOOKUP('Emissions Per VMT'!$A28, 'Environmental Factors2'!$B$6:$F$19, 'Environmental Factors2'!E$4, FALSE)*'Environmental Factors2'!E61</f>
        <v>2.4050440901564368E-3</v>
      </c>
      <c r="G28" s="412">
        <f>VLOOKUP('Emissions Per VMT'!$A28, 'Environmental Factors2'!$B$6:$F$19, 'Environmental Factors2'!F$4, FALSE)*'Environmental Factors2'!F61</f>
        <v>4.8667413438640319E-4</v>
      </c>
      <c r="I28" s="336">
        <f>ROUND('TDM Data'!$K$5*((1+'TDM Data'!$L$10)^(B28-2025)),0)</f>
        <v>27</v>
      </c>
      <c r="J28" s="138">
        <v>2048</v>
      </c>
      <c r="K28" s="363">
        <f>'VMT to VOC Savings'!F30</f>
        <v>11322726233.229284</v>
      </c>
      <c r="L28" s="412">
        <f>VLOOKUP('Emissions Per VMT'!$I28, 'Environmental Factors2'!$B$6:$F$19, 'Environmental Factors2'!C$4, FALSE)*'Environmental Factors2'!C61</f>
        <v>243.05161930713896</v>
      </c>
      <c r="M28" s="412">
        <f>VLOOKUP('Emissions Per VMT'!$I28, 'Environmental Factors2'!$B$6:$F$19, 'Environmental Factors2'!D$4, FALSE)*'Environmental Factors2'!D61</f>
        <v>1.8332420064321675E-2</v>
      </c>
      <c r="N28" s="412">
        <f>VLOOKUP('Emissions Per VMT'!$I28, 'Environmental Factors2'!$B$6:$F$19, 'Environmental Factors2'!E$4, FALSE)*'Environmental Factors2'!E61</f>
        <v>2.4050440901564368E-3</v>
      </c>
      <c r="O28" s="412">
        <f>VLOOKUP('Emissions Per VMT'!$I28, 'Environmental Factors2'!$B$6:$F$19, 'Environmental Factors2'!F$4, FALSE)*'Environmental Factors2'!F61</f>
        <v>4.8667413438640319E-4</v>
      </c>
    </row>
    <row r="29" spans="1:15">
      <c r="A29" s="336">
        <f>ROUND('TDM Data'!$K$18*((1+'TDM Data'!$L$23)^(B29-2025)),0)</f>
        <v>27</v>
      </c>
      <c r="B29" s="138">
        <v>2049</v>
      </c>
      <c r="C29" s="411">
        <f>'VMT to VOC Savings'!B31</f>
        <v>11403877034.962851</v>
      </c>
      <c r="D29" s="412">
        <f>VLOOKUP('Emissions Per VMT'!$A29, 'Environmental Factors2'!$B$6:$F$19, 'Environmental Factors2'!C$4, FALSE)*'Environmental Factors2'!C62</f>
        <v>240.20017584687972</v>
      </c>
      <c r="E29" s="412">
        <f>VLOOKUP('Emissions Per VMT'!$A29, 'Environmental Factors2'!$B$6:$F$19, 'Environmental Factors2'!D$4, FALSE)*'Environmental Factors2'!D62</f>
        <v>1.7333947882768864E-2</v>
      </c>
      <c r="F29" s="412">
        <f>VLOOKUP('Emissions Per VMT'!$A29, 'Environmental Factors2'!$B$6:$F$19, 'Environmental Factors2'!E$4, FALSE)*'Environmental Factors2'!E62</f>
        <v>2.3765954067892212E-3</v>
      </c>
      <c r="G29" s="412">
        <f>VLOOKUP('Emissions Per VMT'!$A29, 'Environmental Factors2'!$B$6:$F$19, 'Environmental Factors2'!F$4, FALSE)*'Environmental Factors2'!F62</f>
        <v>4.6196012241333221E-4</v>
      </c>
      <c r="I29" s="336">
        <f>ROUND('TDM Data'!$K$5*((1+'TDM Data'!$L$10)^(B29-2025)),0)</f>
        <v>27</v>
      </c>
      <c r="J29" s="138">
        <v>2049</v>
      </c>
      <c r="K29" s="363">
        <f>'VMT to VOC Savings'!F31</f>
        <v>11357502085.875538</v>
      </c>
      <c r="L29" s="412">
        <f>VLOOKUP('Emissions Per VMT'!$I29, 'Environmental Factors2'!$B$6:$F$19, 'Environmental Factors2'!C$4, FALSE)*'Environmental Factors2'!C62</f>
        <v>240.20017584687972</v>
      </c>
      <c r="M29" s="412">
        <f>VLOOKUP('Emissions Per VMT'!$I29, 'Environmental Factors2'!$B$6:$F$19, 'Environmental Factors2'!D$4, FALSE)*'Environmental Factors2'!D62</f>
        <v>1.7333947882768864E-2</v>
      </c>
      <c r="N29" s="412">
        <f>VLOOKUP('Emissions Per VMT'!$I29, 'Environmental Factors2'!$B$6:$F$19, 'Environmental Factors2'!E$4, FALSE)*'Environmental Factors2'!E62</f>
        <v>2.3765954067892212E-3</v>
      </c>
      <c r="O29" s="412">
        <f>VLOOKUP('Emissions Per VMT'!$I29, 'Environmental Factors2'!$B$6:$F$19, 'Environmental Factors2'!F$4, FALSE)*'Environmental Factors2'!F62</f>
        <v>4.6196012241333221E-4</v>
      </c>
    </row>
    <row r="30" spans="1:15">
      <c r="A30" s="336">
        <f>ROUND('TDM Data'!$K$18*((1+'TDM Data'!$L$23)^(B30-2025)),0)</f>
        <v>27</v>
      </c>
      <c r="B30" s="138">
        <v>2050</v>
      </c>
      <c r="C30" s="411">
        <f>'VMT to VOC Savings'!B32</f>
        <v>11439799304.115545</v>
      </c>
      <c r="D30" s="412">
        <f>VLOOKUP('Emissions Per VMT'!$A30, 'Environmental Factors2'!$B$6:$F$19, 'Environmental Factors2'!C$4, FALSE)*'Environmental Factors2'!C63</f>
        <v>237.38218507387359</v>
      </c>
      <c r="E30" s="412">
        <f>VLOOKUP('Emissions Per VMT'!$A30, 'Environmental Factors2'!$B$6:$F$19, 'Environmental Factors2'!D$4, FALSE)*'Environmental Factors2'!D63</f>
        <v>1.6389857320982398E-2</v>
      </c>
      <c r="F30" s="412">
        <f>VLOOKUP('Emissions Per VMT'!$A30, 'Environmental Factors2'!$B$6:$F$19, 'Environmental Factors2'!E$4, FALSE)*'Environmental Factors2'!E63</f>
        <v>2.3484832359993183E-3</v>
      </c>
      <c r="G30" s="412">
        <f>VLOOKUP('Emissions Per VMT'!$A30, 'Environmental Factors2'!$B$6:$F$19, 'Environmental Factors2'!F$4, FALSE)*'Environmental Factors2'!F63</f>
        <v>4.3850112348626006E-4</v>
      </c>
      <c r="I30" s="336">
        <f>ROUND('TDM Data'!$K$5*((1+'TDM Data'!$L$10)^(B30-2025)),0)</f>
        <v>27</v>
      </c>
      <c r="J30" s="138">
        <v>2050</v>
      </c>
      <c r="K30" s="363">
        <f>'VMT to VOC Savings'!F32</f>
        <v>11392384746.714657</v>
      </c>
      <c r="L30" s="412">
        <f>VLOOKUP('Emissions Per VMT'!$I30, 'Environmental Factors2'!$B$6:$F$19, 'Environmental Factors2'!C$4, FALSE)*'Environmental Factors2'!C63</f>
        <v>237.38218507387359</v>
      </c>
      <c r="M30" s="412">
        <f>VLOOKUP('Emissions Per VMT'!$I30, 'Environmental Factors2'!$B$6:$F$19, 'Environmental Factors2'!D$4, FALSE)*'Environmental Factors2'!D63</f>
        <v>1.6389857320982398E-2</v>
      </c>
      <c r="N30" s="412">
        <f>VLOOKUP('Emissions Per VMT'!$I30, 'Environmental Factors2'!$B$6:$F$19, 'Environmental Factors2'!E$4, FALSE)*'Environmental Factors2'!E63</f>
        <v>2.3484832359993183E-3</v>
      </c>
      <c r="O30" s="412">
        <f>VLOOKUP('Emissions Per VMT'!$I30, 'Environmental Factors2'!$B$6:$F$19, 'Environmental Factors2'!F$4, FALSE)*'Environmental Factors2'!F63</f>
        <v>4.3850112348626006E-4</v>
      </c>
    </row>
    <row r="31" spans="1:15">
      <c r="A31" s="336">
        <f>ROUND('TDM Data'!$K$18*((1+'TDM Data'!$L$23)^(B31-2025)),0)</f>
        <v>27</v>
      </c>
      <c r="B31" s="138">
        <v>2051</v>
      </c>
      <c r="C31" s="411">
        <f>'VMT to VOC Savings'!B33</f>
        <v>11439799304.115545</v>
      </c>
      <c r="D31" s="412">
        <f>VLOOKUP('Emissions Per VMT'!$A31, 'Environmental Factors2'!$B$6:$F$19, 'Environmental Factors2'!C$4, FALSE)*'Environmental Factors2'!C64</f>
        <v>234.59725452644287</v>
      </c>
      <c r="E31" s="412">
        <f>VLOOKUP('Emissions Per VMT'!$A31, 'Environmental Factors2'!$B$6:$F$19, 'Environmental Factors2'!D$4, FALSE)*'Environmental Factors2'!D64</f>
        <v>1.549718649317011E-2</v>
      </c>
      <c r="F31" s="412">
        <f>VLOOKUP('Emissions Per VMT'!$A31, 'Environmental Factors2'!$B$6:$F$19, 'Environmental Factors2'!E$4, FALSE)*'Environmental Factors2'!E64</f>
        <v>2.3207035972610478E-3</v>
      </c>
      <c r="G31" s="412">
        <f>VLOOKUP('Emissions Per VMT'!$A31, 'Environmental Factors2'!$B$6:$F$19, 'Environmental Factors2'!F$4, FALSE)*'Environmental Factors2'!F64</f>
        <v>4.1623340623905543E-4</v>
      </c>
      <c r="I31" s="336">
        <f>ROUND('TDM Data'!$K$5*((1+'TDM Data'!$L$10)^(B31-2025)),0)</f>
        <v>27</v>
      </c>
      <c r="J31" s="138">
        <v>2051</v>
      </c>
      <c r="K31" s="363">
        <f>'VMT to VOC Savings'!F33</f>
        <v>11392384746.714657</v>
      </c>
      <c r="L31" s="412">
        <f>VLOOKUP('Emissions Per VMT'!$I31, 'Environmental Factors2'!$B$6:$F$19, 'Environmental Factors2'!C$4, FALSE)*'Environmental Factors2'!C64</f>
        <v>234.59725452644287</v>
      </c>
      <c r="M31" s="412">
        <f>VLOOKUP('Emissions Per VMT'!$I31, 'Environmental Factors2'!$B$6:$F$19, 'Environmental Factors2'!D$4, FALSE)*'Environmental Factors2'!D64</f>
        <v>1.549718649317011E-2</v>
      </c>
      <c r="N31" s="412">
        <f>VLOOKUP('Emissions Per VMT'!$I31, 'Environmental Factors2'!$B$6:$F$19, 'Environmental Factors2'!E$4, FALSE)*'Environmental Factors2'!E64</f>
        <v>2.3207035972610478E-3</v>
      </c>
      <c r="O31" s="412">
        <f>VLOOKUP('Emissions Per VMT'!$I31, 'Environmental Factors2'!$B$6:$F$19, 'Environmental Factors2'!F$4, FALSE)*'Environmental Factors2'!F64</f>
        <v>4.1623340623905543E-4</v>
      </c>
    </row>
    <row r="32" spans="1:15">
      <c r="A32" s="336">
        <f>ROUND('TDM Data'!$K$18*((1+'TDM Data'!$L$23)^(B32-2025)),0)</f>
        <v>27</v>
      </c>
      <c r="B32" s="138">
        <v>2052</v>
      </c>
      <c r="C32" s="411">
        <f>'VMT to VOC Savings'!B34</f>
        <v>11439799304.115545</v>
      </c>
      <c r="D32" s="412">
        <f>VLOOKUP('Emissions Per VMT'!$A32, 'Environmental Factors2'!$B$6:$F$19, 'Environmental Factors2'!C$4, FALSE)*'Environmental Factors2'!C65</f>
        <v>231.84499634720859</v>
      </c>
      <c r="E32" s="412">
        <f>VLOOKUP('Emissions Per VMT'!$A32, 'Environmental Factors2'!$B$6:$F$19, 'Environmental Factors2'!D$4, FALSE)*'Environmental Factors2'!D65</f>
        <v>1.4653134832152335E-2</v>
      </c>
      <c r="F32" s="412">
        <f>VLOOKUP('Emissions Per VMT'!$A32, 'Environmental Factors2'!$B$6:$F$19, 'Environmental Factors2'!E$4, FALSE)*'Environmental Factors2'!E65</f>
        <v>2.2932525571334036E-3</v>
      </c>
      <c r="G32" s="412">
        <f>VLOOKUP('Emissions Per VMT'!$A32, 'Environmental Factors2'!$B$6:$F$19, 'Environmental Factors2'!F$4, FALSE)*'Environmental Factors2'!F65</f>
        <v>3.9509647567595148E-4</v>
      </c>
      <c r="I32" s="336">
        <f>ROUND('TDM Data'!$K$5*((1+'TDM Data'!$L$10)^(B32-2025)),0)</f>
        <v>27</v>
      </c>
      <c r="J32" s="138">
        <v>2052</v>
      </c>
      <c r="K32" s="363">
        <f>'VMT to VOC Savings'!F34</f>
        <v>11392384746.714657</v>
      </c>
      <c r="L32" s="412">
        <f>VLOOKUP('Emissions Per VMT'!$I32, 'Environmental Factors2'!$B$6:$F$19, 'Environmental Factors2'!C$4, FALSE)*'Environmental Factors2'!C65</f>
        <v>231.84499634720859</v>
      </c>
      <c r="M32" s="412">
        <f>VLOOKUP('Emissions Per VMT'!$I32, 'Environmental Factors2'!$B$6:$F$19, 'Environmental Factors2'!D$4, FALSE)*'Environmental Factors2'!D65</f>
        <v>1.4653134832152335E-2</v>
      </c>
      <c r="N32" s="412">
        <f>VLOOKUP('Emissions Per VMT'!$I32, 'Environmental Factors2'!$B$6:$F$19, 'Environmental Factors2'!E$4, FALSE)*'Environmental Factors2'!E65</f>
        <v>2.2932525571334036E-3</v>
      </c>
      <c r="O32" s="412">
        <f>VLOOKUP('Emissions Per VMT'!$I32, 'Environmental Factors2'!$B$6:$F$19, 'Environmental Factors2'!F$4, FALSE)*'Environmental Factors2'!F65</f>
        <v>3.9509647567595148E-4</v>
      </c>
    </row>
    <row r="33" spans="1:15">
      <c r="A33" s="336">
        <f>ROUND('TDM Data'!$K$18*((1+'TDM Data'!$L$23)^(B33-2025)),0)</f>
        <v>27</v>
      </c>
      <c r="B33" s="138">
        <v>2053</v>
      </c>
      <c r="C33" s="411">
        <f>'VMT to VOC Savings'!B35</f>
        <v>11439799304.115545</v>
      </c>
      <c r="D33" s="412">
        <f>VLOOKUP('Emissions Per VMT'!$A33, 'Environmental Factors2'!$B$6:$F$19, 'Environmental Factors2'!C$4, FALSE)*'Environmental Factors2'!C66</f>
        <v>229.12502722907377</v>
      </c>
      <c r="E33" s="412">
        <f>VLOOKUP('Emissions Per VMT'!$A33, 'Environmental Factors2'!$B$6:$F$19, 'Environmental Factors2'!D$4, FALSE)*'Environmental Factors2'!D66</f>
        <v>1.3855054303170742E-2</v>
      </c>
      <c r="F33" s="412">
        <f>VLOOKUP('Emissions Per VMT'!$A33, 'Environmental Factors2'!$B$6:$F$19, 'Environmental Factors2'!E$4, FALSE)*'Environmental Factors2'!E66</f>
        <v>2.2661262287030992E-3</v>
      </c>
      <c r="G33" s="412">
        <f>VLOOKUP('Emissions Per VMT'!$A33, 'Environmental Factors2'!$B$6:$F$19, 'Environmental Factors2'!F$4, FALSE)*'Environmental Factors2'!F66</f>
        <v>3.7503290882400745E-4</v>
      </c>
      <c r="I33" s="336">
        <f>ROUND('TDM Data'!$K$5*((1+'TDM Data'!$L$10)^(B33-2025)),0)</f>
        <v>27</v>
      </c>
      <c r="J33" s="138">
        <v>2053</v>
      </c>
      <c r="K33" s="363">
        <f>'VMT to VOC Savings'!F35</f>
        <v>11392384746.714657</v>
      </c>
      <c r="L33" s="412">
        <f>VLOOKUP('Emissions Per VMT'!$I33, 'Environmental Factors2'!$B$6:$F$19, 'Environmental Factors2'!C$4, FALSE)*'Environmental Factors2'!C66</f>
        <v>229.12502722907377</v>
      </c>
      <c r="M33" s="412">
        <f>VLOOKUP('Emissions Per VMT'!$I33, 'Environmental Factors2'!$B$6:$F$19, 'Environmental Factors2'!D$4, FALSE)*'Environmental Factors2'!D66</f>
        <v>1.3855054303170742E-2</v>
      </c>
      <c r="N33" s="412">
        <f>VLOOKUP('Emissions Per VMT'!$I33, 'Environmental Factors2'!$B$6:$F$19, 'Environmental Factors2'!E$4, FALSE)*'Environmental Factors2'!E66</f>
        <v>2.2661262287030992E-3</v>
      </c>
      <c r="O33" s="412">
        <f>VLOOKUP('Emissions Per VMT'!$I33, 'Environmental Factors2'!$B$6:$F$19, 'Environmental Factors2'!F$4, FALSE)*'Environmental Factors2'!F66</f>
        <v>3.7503290882400745E-4</v>
      </c>
    </row>
    <row r="34" spans="1:15">
      <c r="A34" s="336">
        <f>ROUND('TDM Data'!$K$18*((1+'TDM Data'!$L$23)^(B34-2025)),0)</f>
        <v>27</v>
      </c>
      <c r="B34" s="138">
        <v>2054</v>
      </c>
      <c r="C34" s="411">
        <f>'VMT to VOC Savings'!B36</f>
        <v>11439799304.115545</v>
      </c>
      <c r="D34" s="412">
        <f>VLOOKUP('Emissions Per VMT'!$A34, 'Environmental Factors2'!$B$6:$F$19, 'Environmental Factors2'!C$4, FALSE)*'Environmental Factors2'!C67</f>
        <v>226.43696836184006</v>
      </c>
      <c r="E34" s="412">
        <f>VLOOKUP('Emissions Per VMT'!$A34, 'Environmental Factors2'!$B$6:$F$19, 'Environmental Factors2'!D$4, FALSE)*'Environmental Factors2'!D67</f>
        <v>1.3100441096235623E-2</v>
      </c>
      <c r="F34" s="412">
        <f>VLOOKUP('Emissions Per VMT'!$A34, 'Environmental Factors2'!$B$6:$F$19, 'Environmental Factors2'!E$4, FALSE)*'Environmental Factors2'!E67</f>
        <v>2.2393207710342039E-3</v>
      </c>
      <c r="G34" s="412">
        <f>VLOOKUP('Emissions Per VMT'!$A34, 'Environmental Factors2'!$B$6:$F$19, 'Environmental Factors2'!F$4, FALSE)*'Environmental Factors2'!F67</f>
        <v>3.5598819873137441E-4</v>
      </c>
      <c r="I34" s="336">
        <f>ROUND('TDM Data'!$K$5*((1+'TDM Data'!$L$10)^(B34-2025)),0)</f>
        <v>27</v>
      </c>
      <c r="J34" s="138">
        <v>2054</v>
      </c>
      <c r="K34" s="363">
        <f>'VMT to VOC Savings'!F36</f>
        <v>11392384746.714657</v>
      </c>
      <c r="L34" s="412">
        <f>VLOOKUP('Emissions Per VMT'!$I34, 'Environmental Factors2'!$B$6:$F$19, 'Environmental Factors2'!C$4, FALSE)*'Environmental Factors2'!C67</f>
        <v>226.43696836184006</v>
      </c>
      <c r="M34" s="412">
        <f>VLOOKUP('Emissions Per VMT'!$I34, 'Environmental Factors2'!$B$6:$F$19, 'Environmental Factors2'!D$4, FALSE)*'Environmental Factors2'!D67</f>
        <v>1.3100441096235623E-2</v>
      </c>
      <c r="N34" s="412">
        <f>VLOOKUP('Emissions Per VMT'!$I34, 'Environmental Factors2'!$B$6:$F$19, 'Environmental Factors2'!E$4, FALSE)*'Environmental Factors2'!E67</f>
        <v>2.2393207710342039E-3</v>
      </c>
      <c r="O34" s="412">
        <f>VLOOKUP('Emissions Per VMT'!$I34, 'Environmental Factors2'!$B$6:$F$19, 'Environmental Factors2'!F$4, FALSE)*'Environmental Factors2'!F67</f>
        <v>3.5598819873137441E-4</v>
      </c>
    </row>
    <row r="37" spans="1:15" ht="18">
      <c r="A37" s="168" t="s">
        <v>77</v>
      </c>
      <c r="C37" s="182"/>
      <c r="D37" s="182"/>
      <c r="F37" s="182"/>
      <c r="G37" s="182"/>
      <c r="K37" s="182"/>
      <c r="L37" s="182"/>
      <c r="N37" s="182"/>
      <c r="O37" s="182"/>
    </row>
    <row r="38" spans="1:15">
      <c r="A38" s="413" t="s">
        <v>3</v>
      </c>
      <c r="B38" s="410"/>
      <c r="C38" s="410" t="s">
        <v>44</v>
      </c>
      <c r="D38" s="498" t="s">
        <v>25</v>
      </c>
      <c r="E38" s="498"/>
      <c r="F38" s="498"/>
      <c r="G38" s="498"/>
      <c r="H38" s="245"/>
      <c r="I38" s="414" t="s">
        <v>2</v>
      </c>
      <c r="J38" s="410"/>
      <c r="K38" s="410" t="s">
        <v>44</v>
      </c>
      <c r="L38" s="498" t="s">
        <v>25</v>
      </c>
      <c r="M38" s="498"/>
      <c r="N38" s="498"/>
      <c r="O38" s="498"/>
    </row>
    <row r="39" spans="1:15">
      <c r="A39" s="417" t="s">
        <v>19</v>
      </c>
      <c r="B39" s="417" t="s">
        <v>1</v>
      </c>
      <c r="C39" s="410" t="s">
        <v>77</v>
      </c>
      <c r="D39" s="401" t="s">
        <v>39</v>
      </c>
      <c r="E39" s="401" t="s">
        <v>40</v>
      </c>
      <c r="F39" s="401" t="s">
        <v>41</v>
      </c>
      <c r="G39" s="401" t="s">
        <v>42</v>
      </c>
      <c r="H39" s="245"/>
      <c r="I39" s="417" t="s">
        <v>19</v>
      </c>
      <c r="J39" s="417" t="s">
        <v>1</v>
      </c>
      <c r="K39" s="410" t="s">
        <v>77</v>
      </c>
      <c r="L39" s="401" t="s">
        <v>39</v>
      </c>
      <c r="M39" s="401" t="s">
        <v>40</v>
      </c>
      <c r="N39" s="401" t="s">
        <v>41</v>
      </c>
      <c r="O39" s="401" t="s">
        <v>42</v>
      </c>
    </row>
    <row r="40" spans="1:15" s="182" customFormat="1">
      <c r="A40" s="415">
        <f>ROUND('TDM Data'!$K$19*((1+'TDM Data'!$L$24)^(B5-2025)),0)</f>
        <v>30</v>
      </c>
      <c r="B40" s="327">
        <v>2025</v>
      </c>
      <c r="C40" s="416">
        <f>'VMT to VOC Savings'!C7</f>
        <v>981224477.5</v>
      </c>
      <c r="D40" s="405">
        <f>VLOOKUP('Emissions Per VMT'!$A40, 'Environmental Factors2'!$B$21:$F$349, 'Environmental Factors2'!C$4, FALSE)*'Environmental Factors2'!C38</f>
        <v>925.15626531561179</v>
      </c>
      <c r="E40" s="405">
        <f>VLOOKUP('Emissions Per VMT'!$A40, 'Environmental Factors2'!$B$21:$F$349, 'Environmental Factors2'!D$4, FALSE)*'Environmental Factors2'!D38</f>
        <v>1.1749219995808322</v>
      </c>
      <c r="F40" s="405">
        <f>VLOOKUP('Emissions Per VMT'!$A40, 'Environmental Factors2'!$B$21:$F$349, 'Environmental Factors2'!E$4, FALSE)*'Environmental Factors2'!E38</f>
        <v>8.6959069338245643E-3</v>
      </c>
      <c r="G40" s="405">
        <f>VLOOKUP('Emissions Per VMT'!$A40, 'Environmental Factors2'!$B$21:$F$349, 'Environmental Factors2'!F$4, FALSE)*'Environmental Factors2'!F38</f>
        <v>1.3668747304886222E-2</v>
      </c>
      <c r="H40" s="245"/>
      <c r="I40" s="415">
        <f>ROUND('TDM Data'!$K$6*((1+'TDM Data'!$L$11)^(B5-2025)),0)</f>
        <v>31</v>
      </c>
      <c r="J40" s="327">
        <v>2025</v>
      </c>
      <c r="K40" s="416">
        <f>'VMT to VOC Savings'!G7</f>
        <v>984249922.5</v>
      </c>
      <c r="L40" s="405">
        <f>VLOOKUP('Emissions Per VMT'!$I40, 'Environmental Factors2'!$B$21:$F$34, 'Environmental Factors2'!C$4, FALSE)*'Environmental Factors2'!C38</f>
        <v>930.22874928458839</v>
      </c>
      <c r="M40" s="405">
        <f>VLOOKUP('Emissions Per VMT'!$I40, 'Environmental Factors2'!$B$21:$F$34, 'Environmental Factors2'!D$4, FALSE)*'Environmental Factors2'!D38</f>
        <v>1.1628191494322448</v>
      </c>
      <c r="N40" s="405">
        <f>VLOOKUP('Emissions Per VMT'!$I40, 'Environmental Factors2'!$B$21:$F$34, 'Environmental Factors2'!E$4, FALSE)*'Environmental Factors2'!E38</f>
        <v>8.7947240580725696E-3</v>
      </c>
      <c r="O40" s="405">
        <f>VLOOKUP('Emissions Per VMT'!$I40, 'Environmental Factors2'!$B$21:$F$34, 'Environmental Factors2'!F$4, FALSE)*'Environmental Factors2'!F38</f>
        <v>1.3004294310898699E-2</v>
      </c>
    </row>
    <row r="41" spans="1:15" s="182" customFormat="1">
      <c r="A41" s="415">
        <f>ROUND('TDM Data'!$K$19*((1+'TDM Data'!$L$24)^(B6-2025)),0)</f>
        <v>30</v>
      </c>
      <c r="B41" s="327">
        <v>2026</v>
      </c>
      <c r="C41" s="416">
        <f>'VMT to VOC Savings'!C8</f>
        <v>985646273.91499352</v>
      </c>
      <c r="D41" s="405">
        <f>VLOOKUP('Emissions Per VMT'!$A41, 'Environmental Factors2'!$B$21:$F$349, 'Environmental Factors2'!C$4, FALSE)*'Environmental Factors2'!C39</f>
        <v>914.30247717804548</v>
      </c>
      <c r="E41" s="405">
        <f>VLOOKUP('Emissions Per VMT'!$A41, 'Environmental Factors2'!$B$21:$F$349, 'Environmental Factors2'!D$4, FALSE)*'Environmental Factors2'!D39</f>
        <v>1.1109300700941742</v>
      </c>
      <c r="F41" s="405">
        <f>VLOOKUP('Emissions Per VMT'!$A41, 'Environmental Factors2'!$B$21:$F$349, 'Environmental Factors2'!E$4, FALSE)*'Environmental Factors2'!E39</f>
        <v>8.5930451592884233E-3</v>
      </c>
      <c r="G41" s="405">
        <f>VLOOKUP('Emissions Per VMT'!$A41, 'Environmental Factors2'!$B$21:$F$349, 'Environmental Factors2'!F$4, FALSE)*'Environmental Factors2'!F39</f>
        <v>1.2974628672557944E-2</v>
      </c>
      <c r="H41" s="245"/>
      <c r="I41" s="415">
        <f>ROUND('TDM Data'!$K$6*((1+'TDM Data'!$L$11)^(B6-2025)),0)</f>
        <v>30</v>
      </c>
      <c r="J41" s="327">
        <v>2026</v>
      </c>
      <c r="K41" s="416">
        <f>'VMT to VOC Savings'!G8</f>
        <v>988717395.45994699</v>
      </c>
      <c r="L41" s="405">
        <f>VLOOKUP('Emissions Per VMT'!$I41, 'Environmental Factors2'!$B$21:$F$34, 'Environmental Factors2'!C$4, FALSE)*'Environmental Factors2'!C39</f>
        <v>914.30247717804548</v>
      </c>
      <c r="M41" s="405">
        <f>VLOOKUP('Emissions Per VMT'!$I41, 'Environmental Factors2'!$B$21:$F$34, 'Environmental Factors2'!D$4, FALSE)*'Environmental Factors2'!D39</f>
        <v>1.1109300700941742</v>
      </c>
      <c r="N41" s="405">
        <f>VLOOKUP('Emissions Per VMT'!$I41, 'Environmental Factors2'!$B$21:$F$34, 'Environmental Factors2'!E$4, FALSE)*'Environmental Factors2'!E39</f>
        <v>8.5930451592884233E-3</v>
      </c>
      <c r="O41" s="405">
        <f>VLOOKUP('Emissions Per VMT'!$I41, 'Environmental Factors2'!$B$21:$F$34, 'Environmental Factors2'!F$4, FALSE)*'Environmental Factors2'!F39</f>
        <v>1.2974628672557944E-2</v>
      </c>
    </row>
    <row r="42" spans="1:15" s="182" customFormat="1">
      <c r="A42" s="415">
        <f>ROUND('TDM Data'!$K$19*((1+'TDM Data'!$L$24)^(B7-2025)),0)</f>
        <v>30</v>
      </c>
      <c r="B42" s="327">
        <v>2027</v>
      </c>
      <c r="C42" s="416">
        <f>'VMT to VOC Savings'!C9</f>
        <v>990087996.7423259</v>
      </c>
      <c r="D42" s="405">
        <f>VLOOKUP('Emissions Per VMT'!$A42, 'Environmental Factors2'!$B$21:$F$349, 'Environmental Factors2'!C$4, FALSE)*'Environmental Factors2'!C40</f>
        <v>903.57602397983135</v>
      </c>
      <c r="E42" s="405">
        <f>VLOOKUP('Emissions Per VMT'!$A42, 'Environmental Factors2'!$B$21:$F$349, 'Environmental Factors2'!D$4, FALSE)*'Environmental Factors2'!D40</f>
        <v>1.0504234503054253</v>
      </c>
      <c r="F42" s="405">
        <f>VLOOKUP('Emissions Per VMT'!$A42, 'Environmental Factors2'!$B$21:$F$349, 'Environmental Factors2'!E$4, FALSE)*'Environmental Factors2'!E40</f>
        <v>8.4914001117413415E-3</v>
      </c>
      <c r="G42" s="405">
        <f>VLOOKUP('Emissions Per VMT'!$A42, 'Environmental Factors2'!$B$21:$F$349, 'Environmental Factors2'!F$4, FALSE)*'Environmental Factors2'!F40</f>
        <v>1.2315758381939299E-2</v>
      </c>
      <c r="H42" s="245"/>
      <c r="I42" s="415">
        <f>ROUND('TDM Data'!$K$6*((1+'TDM Data'!$L$11)^(B7-2025)),0)</f>
        <v>30</v>
      </c>
      <c r="J42" s="327">
        <v>2027</v>
      </c>
      <c r="K42" s="416">
        <f>'VMT to VOC Savings'!G9</f>
        <v>993205146.10972822</v>
      </c>
      <c r="L42" s="405">
        <f>VLOOKUP('Emissions Per VMT'!$I42, 'Environmental Factors2'!$B$21:$F$34, 'Environmental Factors2'!C$4, FALSE)*'Environmental Factors2'!C40</f>
        <v>903.57602397983135</v>
      </c>
      <c r="M42" s="405">
        <f>VLOOKUP('Emissions Per VMT'!$I42, 'Environmental Factors2'!$B$21:$F$34, 'Environmental Factors2'!D$4, FALSE)*'Environmental Factors2'!D40</f>
        <v>1.0504234503054253</v>
      </c>
      <c r="N42" s="405">
        <f>VLOOKUP('Emissions Per VMT'!$I42, 'Environmental Factors2'!$B$21:$F$34, 'Environmental Factors2'!E$4, FALSE)*'Environmental Factors2'!E40</f>
        <v>8.4914001117413415E-3</v>
      </c>
      <c r="O42" s="405">
        <f>VLOOKUP('Emissions Per VMT'!$I42, 'Environmental Factors2'!$B$21:$F$34, 'Environmental Factors2'!F$4, FALSE)*'Environmental Factors2'!F40</f>
        <v>1.2315758381939299E-2</v>
      </c>
    </row>
    <row r="43" spans="1:15" s="182" customFormat="1">
      <c r="A43" s="415">
        <f>ROUND('TDM Data'!$K$19*((1+'TDM Data'!$L$24)^(B8-2025)),0)</f>
        <v>30</v>
      </c>
      <c r="B43" s="327">
        <v>2028</v>
      </c>
      <c r="C43" s="416">
        <f>'VMT to VOC Savings'!C10</f>
        <v>994549735.77851236</v>
      </c>
      <c r="D43" s="405">
        <f>VLOOKUP('Emissions Per VMT'!$A43, 'Environmental Factors2'!$B$21:$F$349, 'Environmental Factors2'!C$4, FALSE)*'Environmental Factors2'!C41</f>
        <v>892.97541184744091</v>
      </c>
      <c r="E43" s="405">
        <f>VLOOKUP('Emissions Per VMT'!$A43, 'Environmental Factors2'!$B$21:$F$349, 'Environmental Factors2'!D$4, FALSE)*'Environmental Factors2'!D41</f>
        <v>0.99321231340692673</v>
      </c>
      <c r="F43" s="405">
        <f>VLOOKUP('Emissions Per VMT'!$A43, 'Environmental Factors2'!$B$21:$F$349, 'Environmental Factors2'!E$4, FALSE)*'Environmental Factors2'!E41</f>
        <v>8.3909573988147964E-3</v>
      </c>
      <c r="G43" s="405">
        <f>VLOOKUP('Emissions Per VMT'!$A43, 'Environmental Factors2'!$B$21:$F$349, 'Environmental Factors2'!F$4, FALSE)*'Environmental Factors2'!F41</f>
        <v>1.1690346471580744E-2</v>
      </c>
      <c r="H43" s="245"/>
      <c r="I43" s="415">
        <f>ROUND('TDM Data'!$K$6*((1+'TDM Data'!$L$11)^(B8-2025)),0)</f>
        <v>30</v>
      </c>
      <c r="J43" s="327">
        <v>2028</v>
      </c>
      <c r="K43" s="416">
        <f>'VMT to VOC Savings'!G10</f>
        <v>997713266.48900664</v>
      </c>
      <c r="L43" s="405">
        <f>VLOOKUP('Emissions Per VMT'!$I43, 'Environmental Factors2'!$B$21:$F$34, 'Environmental Factors2'!C$4, FALSE)*'Environmental Factors2'!C41</f>
        <v>892.97541184744091</v>
      </c>
      <c r="M43" s="405">
        <f>VLOOKUP('Emissions Per VMT'!$I43, 'Environmental Factors2'!$B$21:$F$34, 'Environmental Factors2'!D$4, FALSE)*'Environmental Factors2'!D41</f>
        <v>0.99321231340692673</v>
      </c>
      <c r="N43" s="405">
        <f>VLOOKUP('Emissions Per VMT'!$I43, 'Environmental Factors2'!$B$21:$F$34, 'Environmental Factors2'!E$4, FALSE)*'Environmental Factors2'!E41</f>
        <v>8.3909573988147964E-3</v>
      </c>
      <c r="O43" s="405">
        <f>VLOOKUP('Emissions Per VMT'!$I43, 'Environmental Factors2'!$B$21:$F$34, 'Environmental Factors2'!F$4, FALSE)*'Environmental Factors2'!F41</f>
        <v>1.1690346471580744E-2</v>
      </c>
    </row>
    <row r="44" spans="1:15">
      <c r="A44" s="415">
        <f>ROUND('TDM Data'!$K$19*((1+'TDM Data'!$L$24)^(B9-2025)),0)</f>
        <v>30</v>
      </c>
      <c r="B44" s="327">
        <v>2029</v>
      </c>
      <c r="C44" s="416">
        <f>'VMT to VOC Savings'!C11</f>
        <v>999031581.22472751</v>
      </c>
      <c r="D44" s="405">
        <f>VLOOKUP('Emissions Per VMT'!$A44, 'Environmental Factors2'!$B$21:$F$349, 'Environmental Factors2'!C$4, FALSE)*'Environmental Factors2'!C42</f>
        <v>882.49916443323605</v>
      </c>
      <c r="E44" s="405">
        <f>VLOOKUP('Emissions Per VMT'!$A44, 'Environmental Factors2'!$B$21:$F$349, 'Environmental Factors2'!D$4, FALSE)*'Environmental Factors2'!D42</f>
        <v>0.93911717147623586</v>
      </c>
      <c r="F44" s="405">
        <f>VLOOKUP('Emissions Per VMT'!$A44, 'Environmental Factors2'!$B$21:$F$349, 'Environmental Factors2'!E$4, FALSE)*'Environmental Factors2'!E42</f>
        <v>8.2917027983841034E-3</v>
      </c>
      <c r="G44" s="405">
        <f>VLOOKUP('Emissions Per VMT'!$A44, 'Environmental Factors2'!$B$21:$F$349, 'Environmental Factors2'!F$4, FALSE)*'Environmental Factors2'!F42</f>
        <v>1.1096693876847601E-2</v>
      </c>
      <c r="H44" s="245"/>
      <c r="I44" s="415">
        <f>ROUND('TDM Data'!$K$6*((1+'TDM Data'!$L$11)^(B9-2025)),0)</f>
        <v>30</v>
      </c>
      <c r="J44" s="327">
        <v>2029</v>
      </c>
      <c r="K44" s="416">
        <f>'VMT to VOC Savings'!G11</f>
        <v>1002241849.0552095</v>
      </c>
      <c r="L44" s="405">
        <f>VLOOKUP('Emissions Per VMT'!$I44, 'Environmental Factors2'!$B$21:$F$34, 'Environmental Factors2'!C$4, FALSE)*'Environmental Factors2'!C42</f>
        <v>882.49916443323605</v>
      </c>
      <c r="M44" s="405">
        <f>VLOOKUP('Emissions Per VMT'!$I44, 'Environmental Factors2'!$B$21:$F$34, 'Environmental Factors2'!D$4, FALSE)*'Environmental Factors2'!D42</f>
        <v>0.93911717147623586</v>
      </c>
      <c r="N44" s="405">
        <f>VLOOKUP('Emissions Per VMT'!$I44, 'Environmental Factors2'!$B$21:$F$34, 'Environmental Factors2'!E$4, FALSE)*'Environmental Factors2'!E42</f>
        <v>8.2917027983841034E-3</v>
      </c>
      <c r="O44" s="405">
        <f>VLOOKUP('Emissions Per VMT'!$I44, 'Environmental Factors2'!$B$21:$F$34, 'Environmental Factors2'!F$4, FALSE)*'Environmental Factors2'!F42</f>
        <v>1.1096693876847601E-2</v>
      </c>
    </row>
    <row r="45" spans="1:15">
      <c r="A45" s="415">
        <f>ROUND('TDM Data'!$K$19*((1+'TDM Data'!$L$24)^(B10-2025)),0)</f>
        <v>30</v>
      </c>
      <c r="B45" s="327">
        <v>2030</v>
      </c>
      <c r="C45" s="416">
        <f>'VMT to VOC Savings'!C12</f>
        <v>1003533623.6886293</v>
      </c>
      <c r="D45" s="405">
        <f>VLOOKUP('Emissions Per VMT'!$A45, 'Environmental Factors2'!$B$21:$F$349, 'Environmental Factors2'!C$4, FALSE)*'Environmental Factors2'!C43</f>
        <v>872.14582270985704</v>
      </c>
      <c r="E45" s="405">
        <f>VLOOKUP('Emissions Per VMT'!$A45, 'Environmental Factors2'!$B$21:$F$349, 'Environmental Factors2'!D$4, FALSE)*'Environmental Factors2'!D43</f>
        <v>0.88796831237047658</v>
      </c>
      <c r="F45" s="405">
        <f>VLOOKUP('Emissions Per VMT'!$A45, 'Environmental Factors2'!$B$21:$F$349, 'Environmental Factors2'!E$4, FALSE)*'Environmental Factors2'!E43</f>
        <v>8.1936222565546432E-3</v>
      </c>
      <c r="G45" s="405">
        <f>VLOOKUP('Emissions Per VMT'!$A45, 'Environmental Factors2'!$B$21:$F$349, 'Environmental Factors2'!F$4, FALSE)*'Environmental Factors2'!F43</f>
        <v>1.0533187814049175E-2</v>
      </c>
      <c r="H45" s="245"/>
      <c r="I45" s="415">
        <f>ROUND('TDM Data'!$K$6*((1+'TDM Data'!$L$11)^(B10-2025)),0)</f>
        <v>30</v>
      </c>
      <c r="J45" s="327">
        <v>2030</v>
      </c>
      <c r="K45" s="416">
        <f>'VMT to VOC Savings'!G12</f>
        <v>1006790986.685425</v>
      </c>
      <c r="L45" s="405">
        <f>VLOOKUP('Emissions Per VMT'!$I45, 'Environmental Factors2'!$B$21:$F$34, 'Environmental Factors2'!C$4, FALSE)*'Environmental Factors2'!C43</f>
        <v>872.14582270985704</v>
      </c>
      <c r="M45" s="405">
        <f>VLOOKUP('Emissions Per VMT'!$I45, 'Environmental Factors2'!$B$21:$F$34, 'Environmental Factors2'!D$4, FALSE)*'Environmental Factors2'!D43</f>
        <v>0.88796831237047658</v>
      </c>
      <c r="N45" s="405">
        <f>VLOOKUP('Emissions Per VMT'!$I45, 'Environmental Factors2'!$B$21:$F$34, 'Environmental Factors2'!E$4, FALSE)*'Environmental Factors2'!E43</f>
        <v>8.1936222565546432E-3</v>
      </c>
      <c r="O45" s="405">
        <f>VLOOKUP('Emissions Per VMT'!$I45, 'Environmental Factors2'!$B$21:$F$34, 'Environmental Factors2'!F$4, FALSE)*'Environmental Factors2'!F43</f>
        <v>1.0533187814049175E-2</v>
      </c>
    </row>
    <row r="46" spans="1:15">
      <c r="A46" s="415">
        <f>ROUND('TDM Data'!$K$19*((1+'TDM Data'!$L$24)^(B11-2025)),0)</f>
        <v>30</v>
      </c>
      <c r="B46" s="327">
        <v>2031</v>
      </c>
      <c r="C46" s="416">
        <f>'VMT to VOC Savings'!C13</f>
        <v>1008055954.1861906</v>
      </c>
      <c r="D46" s="405">
        <f>VLOOKUP('Emissions Per VMT'!$A46, 'Environmental Factors2'!$B$21:$F$349, 'Environmental Factors2'!C$4, FALSE)*'Environmental Factors2'!C44</f>
        <v>861.91394476702442</v>
      </c>
      <c r="E46" s="405">
        <f>VLOOKUP('Emissions Per VMT'!$A46, 'Environmental Factors2'!$B$21:$F$349, 'Environmental Factors2'!D$4, FALSE)*'Environmental Factors2'!D44</f>
        <v>0.83960526729014762</v>
      </c>
      <c r="F46" s="405">
        <f>VLOOKUP('Emissions Per VMT'!$A46, 'Environmental Factors2'!$B$21:$F$349, 'Environmental Factors2'!E$4, FALSE)*'Environmental Factors2'!E44</f>
        <v>8.0967018856719086E-3</v>
      </c>
      <c r="G46" s="405">
        <f>VLOOKUP('Emissions Per VMT'!$A46, 'Environmental Factors2'!$B$21:$F$349, 'Environmental Factors2'!F$4, FALSE)*'Environmental Factors2'!F44</f>
        <v>9.9982973989684084E-3</v>
      </c>
      <c r="H46" s="245"/>
      <c r="I46" s="415">
        <f>ROUND('TDM Data'!$K$6*((1+'TDM Data'!$L$11)^(B11-2025)),0)</f>
        <v>30</v>
      </c>
      <c r="J46" s="327">
        <v>2031</v>
      </c>
      <c r="K46" s="416">
        <f>'VMT to VOC Savings'!G13</f>
        <v>1011360772.6783068</v>
      </c>
      <c r="L46" s="405">
        <f>VLOOKUP('Emissions Per VMT'!$I46, 'Environmental Factors2'!$B$21:$F$34, 'Environmental Factors2'!C$4, FALSE)*'Environmental Factors2'!C44</f>
        <v>861.91394476702442</v>
      </c>
      <c r="M46" s="405">
        <f>VLOOKUP('Emissions Per VMT'!$I46, 'Environmental Factors2'!$B$21:$F$34, 'Environmental Factors2'!D$4, FALSE)*'Environmental Factors2'!D44</f>
        <v>0.83960526729014762</v>
      </c>
      <c r="N46" s="405">
        <f>VLOOKUP('Emissions Per VMT'!$I46, 'Environmental Factors2'!$B$21:$F$34, 'Environmental Factors2'!E$4, FALSE)*'Environmental Factors2'!E44</f>
        <v>8.0967018856719086E-3</v>
      </c>
      <c r="O46" s="405">
        <f>VLOOKUP('Emissions Per VMT'!$I46, 'Environmental Factors2'!$B$21:$F$34, 'Environmental Factors2'!F$4, FALSE)*'Environmental Factors2'!F44</f>
        <v>9.9982973989684084E-3</v>
      </c>
    </row>
    <row r="47" spans="1:15">
      <c r="A47" s="415">
        <f>ROUND('TDM Data'!$K$19*((1+'TDM Data'!$L$24)^(B12-2025)),0)</f>
        <v>30</v>
      </c>
      <c r="B47" s="327">
        <v>2032</v>
      </c>
      <c r="C47" s="416">
        <f>'VMT to VOC Savings'!C14</f>
        <v>1012598664.1435392</v>
      </c>
      <c r="D47" s="405">
        <f>VLOOKUP('Emissions Per VMT'!$A47, 'Environmental Factors2'!$B$21:$F$349, 'Environmental Factors2'!C$4, FALSE)*'Environmental Factors2'!C45</f>
        <v>851.80210561072374</v>
      </c>
      <c r="E47" s="405">
        <f>VLOOKUP('Emissions Per VMT'!$A47, 'Environmental Factors2'!$B$21:$F$349, 'Environmental Factors2'!D$4, FALSE)*'Environmental Factors2'!D45</f>
        <v>0.7938763073419759</v>
      </c>
      <c r="F47" s="405">
        <f>VLOOKUP('Emissions Per VMT'!$A47, 'Environmental Factors2'!$B$21:$F$349, 'Environmental Factors2'!E$4, FALSE)*'Environmental Factors2'!E45</f>
        <v>8.0009279623550877E-3</v>
      </c>
      <c r="G47" s="405">
        <f>VLOOKUP('Emissions Per VMT'!$A47, 'Environmental Factors2'!$B$21:$F$349, 'Environmental Factors2'!F$4, FALSE)*'Environmental Factors2'!F45</f>
        <v>9.4905694878889123E-3</v>
      </c>
      <c r="H47" s="245"/>
      <c r="I47" s="415">
        <f>ROUND('TDM Data'!$K$6*((1+'TDM Data'!$L$11)^(B12-2025)),0)</f>
        <v>30</v>
      </c>
      <c r="J47" s="327">
        <v>2032</v>
      </c>
      <c r="K47" s="416">
        <f>'VMT to VOC Savings'!G14</f>
        <v>1015951300.7559876</v>
      </c>
      <c r="L47" s="405">
        <f>VLOOKUP('Emissions Per VMT'!$I47, 'Environmental Factors2'!$B$21:$F$34, 'Environmental Factors2'!C$4, FALSE)*'Environmental Factors2'!C45</f>
        <v>851.80210561072374</v>
      </c>
      <c r="M47" s="405">
        <f>VLOOKUP('Emissions Per VMT'!$I47, 'Environmental Factors2'!$B$21:$F$34, 'Environmental Factors2'!D$4, FALSE)*'Environmental Factors2'!D45</f>
        <v>0.7938763073419759</v>
      </c>
      <c r="N47" s="405">
        <f>VLOOKUP('Emissions Per VMT'!$I47, 'Environmental Factors2'!$B$21:$F$34, 'Environmental Factors2'!E$4, FALSE)*'Environmental Factors2'!E45</f>
        <v>8.0009279623550877E-3</v>
      </c>
      <c r="O47" s="405">
        <f>VLOOKUP('Emissions Per VMT'!$I47, 'Environmental Factors2'!$B$21:$F$34, 'Environmental Factors2'!F$4, FALSE)*'Environmental Factors2'!F45</f>
        <v>9.4905694878889123E-3</v>
      </c>
    </row>
    <row r="48" spans="1:15">
      <c r="A48" s="415">
        <f>ROUND('TDM Data'!$K$19*((1+'TDM Data'!$L$24)^(B13-2025)),0)</f>
        <v>30</v>
      </c>
      <c r="B48" s="327">
        <v>2033</v>
      </c>
      <c r="C48" s="416">
        <f>'VMT to VOC Savings'!C15</f>
        <v>1017161845.3988062</v>
      </c>
      <c r="D48" s="405">
        <f>VLOOKUP('Emissions Per VMT'!$A48, 'Environmental Factors2'!$B$21:$F$349, 'Environmental Factors2'!C$4, FALSE)*'Environmental Factors2'!C46</f>
        <v>841.80889696474685</v>
      </c>
      <c r="E48" s="405">
        <f>VLOOKUP('Emissions Per VMT'!$A48, 'Environmental Factors2'!$B$21:$F$349, 'Environmental Factors2'!D$4, FALSE)*'Environmental Factors2'!D46</f>
        <v>0.750637967521392</v>
      </c>
      <c r="F48" s="405">
        <f>VLOOKUP('Emissions Per VMT'!$A48, 'Environmental Factors2'!$B$21:$F$349, 'Environmental Factors2'!E$4, FALSE)*'Environmental Factors2'!E46</f>
        <v>7.9062869255539132E-3</v>
      </c>
      <c r="G48" s="405">
        <f>VLOOKUP('Emissions Per VMT'!$A48, 'Environmental Factors2'!$B$21:$F$349, 'Environmental Factors2'!F$4, FALSE)*'Environmental Factors2'!F46</f>
        <v>9.0086247298206256E-3</v>
      </c>
      <c r="H48" s="245"/>
      <c r="I48" s="415">
        <f>ROUND('TDM Data'!$K$6*((1+'TDM Data'!$L$11)^(B13-2025)),0)</f>
        <v>30</v>
      </c>
      <c r="J48" s="327">
        <v>2033</v>
      </c>
      <c r="K48" s="416">
        <f>'VMT to VOC Savings'!G15</f>
        <v>1020562665.0660014</v>
      </c>
      <c r="L48" s="405">
        <f>VLOOKUP('Emissions Per VMT'!$I48, 'Environmental Factors2'!$B$21:$F$34, 'Environmental Factors2'!C$4, FALSE)*'Environmental Factors2'!C46</f>
        <v>841.80889696474685</v>
      </c>
      <c r="M48" s="405">
        <f>VLOOKUP('Emissions Per VMT'!$I48, 'Environmental Factors2'!$B$21:$F$34, 'Environmental Factors2'!D$4, FALSE)*'Environmental Factors2'!D46</f>
        <v>0.750637967521392</v>
      </c>
      <c r="N48" s="405">
        <f>VLOOKUP('Emissions Per VMT'!$I48, 'Environmental Factors2'!$B$21:$F$34, 'Environmental Factors2'!E$4, FALSE)*'Environmental Factors2'!E46</f>
        <v>7.9062869255539132E-3</v>
      </c>
      <c r="O48" s="405">
        <f>VLOOKUP('Emissions Per VMT'!$I48, 'Environmental Factors2'!$B$21:$F$34, 'Environmental Factors2'!F$4, FALSE)*'Environmental Factors2'!F46</f>
        <v>9.0086247298206256E-3</v>
      </c>
    </row>
    <row r="49" spans="1:15">
      <c r="A49" s="415">
        <f>ROUND('TDM Data'!$K$19*((1+'TDM Data'!$L$24)^(B14-2025)),0)</f>
        <v>30</v>
      </c>
      <c r="B49" s="327">
        <v>2034</v>
      </c>
      <c r="C49" s="416">
        <f>'VMT to VOC Savings'!C16</f>
        <v>1021745590.2039827</v>
      </c>
      <c r="D49" s="405">
        <f>VLOOKUP('Emissions Per VMT'!$A49, 'Environmental Factors2'!$B$21:$F$349, 'Environmental Factors2'!C$4, FALSE)*'Environmental Factors2'!C47</f>
        <v>831.93292707456112</v>
      </c>
      <c r="E49" s="405">
        <f>VLOOKUP('Emissions Per VMT'!$A49, 'Environmental Factors2'!$B$21:$F$349, 'Environmental Factors2'!D$4, FALSE)*'Environmental Factors2'!D47</f>
        <v>0.70975459662121809</v>
      </c>
      <c r="F49" s="405">
        <f>VLOOKUP('Emissions Per VMT'!$A49, 'Environmental Factors2'!$B$21:$F$349, 'Environmental Factors2'!E$4, FALSE)*'Environmental Factors2'!E47</f>
        <v>7.8127653746284959E-3</v>
      </c>
      <c r="G49" s="405">
        <f>VLOOKUP('Emissions Per VMT'!$A49, 'Environmental Factors2'!$B$21:$F$349, 'Environmental Factors2'!F$4, FALSE)*'Environmental Factors2'!F47</f>
        <v>8.5511538191991015E-3</v>
      </c>
      <c r="H49" s="245"/>
      <c r="I49" s="415">
        <f>ROUND('TDM Data'!$K$6*((1+'TDM Data'!$L$11)^(B14-2025)),0)</f>
        <v>30</v>
      </c>
      <c r="J49" s="327">
        <v>2034</v>
      </c>
      <c r="K49" s="416">
        <f>'VMT to VOC Savings'!G16</f>
        <v>1025194960.1832142</v>
      </c>
      <c r="L49" s="405">
        <f>VLOOKUP('Emissions Per VMT'!$I49, 'Environmental Factors2'!$B$21:$F$34, 'Environmental Factors2'!C$4, FALSE)*'Environmental Factors2'!C47</f>
        <v>831.93292707456112</v>
      </c>
      <c r="M49" s="405">
        <f>VLOOKUP('Emissions Per VMT'!$I49, 'Environmental Factors2'!$B$21:$F$34, 'Environmental Factors2'!D$4, FALSE)*'Environmental Factors2'!D47</f>
        <v>0.70975459662121809</v>
      </c>
      <c r="N49" s="405">
        <f>VLOOKUP('Emissions Per VMT'!$I49, 'Environmental Factors2'!$B$21:$F$34, 'Environmental Factors2'!E$4, FALSE)*'Environmental Factors2'!E47</f>
        <v>7.8127653746284959E-3</v>
      </c>
      <c r="O49" s="405">
        <f>VLOOKUP('Emissions Per VMT'!$I49, 'Environmental Factors2'!$B$21:$F$34, 'Environmental Factors2'!F$4, FALSE)*'Environmental Factors2'!F47</f>
        <v>8.5511538191991015E-3</v>
      </c>
    </row>
    <row r="50" spans="1:15">
      <c r="A50" s="415">
        <f>ROUND('TDM Data'!$K$19*((1+'TDM Data'!$L$24)^(B15-2025)),0)</f>
        <v>30</v>
      </c>
      <c r="B50" s="327">
        <v>2035</v>
      </c>
      <c r="C50" s="416">
        <f>'VMT to VOC Savings'!C17</f>
        <v>1026349991.2267848</v>
      </c>
      <c r="D50" s="405">
        <f>VLOOKUP('Emissions Per VMT'!$A50, 'Environmental Factors2'!$B$21:$F$349, 'Environmental Factors2'!C$4, FALSE)*'Environmental Factors2'!C48</f>
        <v>822.17282051347945</v>
      </c>
      <c r="E50" s="405">
        <f>VLOOKUP('Emissions Per VMT'!$A50, 'Environmental Factors2'!$B$21:$F$349, 'Environmental Factors2'!D$4, FALSE)*'Environmental Factors2'!D48</f>
        <v>0.67109793165450549</v>
      </c>
      <c r="F50" s="405">
        <f>VLOOKUP('Emissions Per VMT'!$A50, 'Environmental Factors2'!$B$21:$F$349, 'Environmental Factors2'!E$4, FALSE)*'Environmental Factors2'!E48</f>
        <v>7.7203500674518635E-3</v>
      </c>
      <c r="G50" s="405">
        <f>VLOOKUP('Emissions Per VMT'!$A50, 'Environmental Factors2'!$B$21:$F$349, 'Environmental Factors2'!F$4, FALSE)*'Environmental Factors2'!F48</f>
        <v>8.1169139388781418E-3</v>
      </c>
      <c r="H50" s="245"/>
      <c r="I50" s="415">
        <f>ROUND('TDM Data'!$K$6*((1+'TDM Data'!$L$11)^(B15-2025)),0)</f>
        <v>30</v>
      </c>
      <c r="J50" s="327">
        <v>2035</v>
      </c>
      <c r="K50" s="416">
        <f>'VMT to VOC Savings'!G17</f>
        <v>1029848281.1117636</v>
      </c>
      <c r="L50" s="405">
        <f>VLOOKUP('Emissions Per VMT'!$I50, 'Environmental Factors2'!$B$21:$F$34, 'Environmental Factors2'!C$4, FALSE)*'Environmental Factors2'!C48</f>
        <v>822.17282051347945</v>
      </c>
      <c r="M50" s="405">
        <f>VLOOKUP('Emissions Per VMT'!$I50, 'Environmental Factors2'!$B$21:$F$34, 'Environmental Factors2'!D$4, FALSE)*'Environmental Factors2'!D48</f>
        <v>0.67109793165450549</v>
      </c>
      <c r="N50" s="405">
        <f>VLOOKUP('Emissions Per VMT'!$I50, 'Environmental Factors2'!$B$21:$F$34, 'Environmental Factors2'!E$4, FALSE)*'Environmental Factors2'!E48</f>
        <v>7.7203500674518635E-3</v>
      </c>
      <c r="O50" s="405">
        <f>VLOOKUP('Emissions Per VMT'!$I50, 'Environmental Factors2'!$B$21:$F$34, 'Environmental Factors2'!F$4, FALSE)*'Environmental Factors2'!F48</f>
        <v>8.1169139388781418E-3</v>
      </c>
    </row>
    <row r="51" spans="1:15">
      <c r="A51" s="415">
        <f>ROUND('TDM Data'!$K$19*((1+'TDM Data'!$L$24)^(B16-2025)),0)</f>
        <v>30</v>
      </c>
      <c r="B51" s="327">
        <v>2036</v>
      </c>
      <c r="C51" s="416">
        <f>'VMT to VOC Savings'!C18</f>
        <v>1030975141.552527</v>
      </c>
      <c r="D51" s="405">
        <f>VLOOKUP('Emissions Per VMT'!$A51, 'Environmental Factors2'!$B$21:$F$349, 'Environmental Factors2'!C$4, FALSE)*'Environmental Factors2'!C49</f>
        <v>812.5272179911052</v>
      </c>
      <c r="E51" s="405">
        <f>VLOOKUP('Emissions Per VMT'!$A51, 'Environmental Factors2'!$B$21:$F$349, 'Environmental Factors2'!D$4, FALSE)*'Environmental Factors2'!D49</f>
        <v>0.63454669545635956</v>
      </c>
      <c r="F51" s="405">
        <f>VLOOKUP('Emissions Per VMT'!$A51, 'Environmental Factors2'!$B$21:$F$349, 'Environmental Factors2'!E$4, FALSE)*'Environmental Factors2'!E49</f>
        <v>7.6290279185349539E-3</v>
      </c>
      <c r="G51" s="405">
        <f>VLOOKUP('Emissions Per VMT'!$A51, 'Environmental Factors2'!$B$21:$F$349, 'Environmental Factors2'!F$4, FALSE)*'Environmental Factors2'!F49</f>
        <v>7.7047253837523623E-3</v>
      </c>
      <c r="H51" s="245"/>
      <c r="I51" s="415">
        <f>ROUND('TDM Data'!$K$6*((1+'TDM Data'!$L$11)^(B16-2025)),0)</f>
        <v>30</v>
      </c>
      <c r="J51" s="327">
        <v>2036</v>
      </c>
      <c r="K51" s="416">
        <f>'VMT to VOC Savings'!G18</f>
        <v>1034522723.2870077</v>
      </c>
      <c r="L51" s="405">
        <f>VLOOKUP('Emissions Per VMT'!$I51, 'Environmental Factors2'!$B$21:$F$34, 'Environmental Factors2'!C$4, FALSE)*'Environmental Factors2'!C49</f>
        <v>812.5272179911052</v>
      </c>
      <c r="M51" s="405">
        <f>VLOOKUP('Emissions Per VMT'!$I51, 'Environmental Factors2'!$B$21:$F$34, 'Environmental Factors2'!D$4, FALSE)*'Environmental Factors2'!D49</f>
        <v>0.63454669545635956</v>
      </c>
      <c r="N51" s="405">
        <f>VLOOKUP('Emissions Per VMT'!$I51, 'Environmental Factors2'!$B$21:$F$34, 'Environmental Factors2'!E$4, FALSE)*'Environmental Factors2'!E49</f>
        <v>7.6290279185349539E-3</v>
      </c>
      <c r="O51" s="405">
        <f>VLOOKUP('Emissions Per VMT'!$I51, 'Environmental Factors2'!$B$21:$F$34, 'Environmental Factors2'!F$4, FALSE)*'Environmental Factors2'!F49</f>
        <v>7.7047253837523623E-3</v>
      </c>
    </row>
    <row r="52" spans="1:15">
      <c r="A52" s="415">
        <f>ROUND('TDM Data'!$K$19*((1+'TDM Data'!$L$24)^(B17-2025)),0)</f>
        <v>30</v>
      </c>
      <c r="B52" s="327">
        <v>2037</v>
      </c>
      <c r="C52" s="416">
        <f>'VMT to VOC Savings'!C19</f>
        <v>1035621134.6860038</v>
      </c>
      <c r="D52" s="405">
        <f>VLOOKUP('Emissions Per VMT'!$A52, 'Environmental Factors2'!$B$21:$F$349, 'Environmental Factors2'!C$4, FALSE)*'Environmental Factors2'!C50</f>
        <v>802.99477616402316</v>
      </c>
      <c r="E52" s="405">
        <f>VLOOKUP('Emissions Per VMT'!$A52, 'Environmental Factors2'!$B$21:$F$349, 'Environmental Factors2'!D$4, FALSE)*'Environmental Factors2'!D50</f>
        <v>0.59998621620231396</v>
      </c>
      <c r="F52" s="405">
        <f>VLOOKUP('Emissions Per VMT'!$A52, 'Environmental Factors2'!$B$21:$F$349, 'Environmental Factors2'!E$4, FALSE)*'Environmental Factors2'!E50</f>
        <v>7.538785997173782E-3</v>
      </c>
      <c r="G52" s="405">
        <f>VLOOKUP('Emissions Per VMT'!$A52, 'Environmental Factors2'!$B$21:$F$349, 'Environmental Factors2'!F$4, FALSE)*'Environmental Factors2'!F50</f>
        <v>7.3134683558370543E-3</v>
      </c>
      <c r="H52" s="245"/>
      <c r="I52" s="415">
        <f>ROUND('TDM Data'!$K$6*((1+'TDM Data'!$L$11)^(B17-2025)),0)</f>
        <v>30</v>
      </c>
      <c r="J52" s="327">
        <v>2037</v>
      </c>
      <c r="K52" s="416">
        <f>'VMT to VOC Savings'!G19</f>
        <v>1039218382.5774816</v>
      </c>
      <c r="L52" s="405">
        <f>VLOOKUP('Emissions Per VMT'!$I52, 'Environmental Factors2'!$B$21:$F$34, 'Environmental Factors2'!C$4, FALSE)*'Environmental Factors2'!C50</f>
        <v>802.99477616402316</v>
      </c>
      <c r="M52" s="405">
        <f>VLOOKUP('Emissions Per VMT'!$I52, 'Environmental Factors2'!$B$21:$F$34, 'Environmental Factors2'!D$4, FALSE)*'Environmental Factors2'!D50</f>
        <v>0.59998621620231396</v>
      </c>
      <c r="N52" s="405">
        <f>VLOOKUP('Emissions Per VMT'!$I52, 'Environmental Factors2'!$B$21:$F$34, 'Environmental Factors2'!E$4, FALSE)*'Environmental Factors2'!E50</f>
        <v>7.538785997173782E-3</v>
      </c>
      <c r="O52" s="405">
        <f>VLOOKUP('Emissions Per VMT'!$I52, 'Environmental Factors2'!$B$21:$F$34, 'Environmental Factors2'!F$4, FALSE)*'Environmental Factors2'!F50</f>
        <v>7.3134683558370543E-3</v>
      </c>
    </row>
    <row r="53" spans="1:15">
      <c r="A53" s="415">
        <f>ROUND('TDM Data'!$K$19*((1+'TDM Data'!$L$24)^(B18-2025)),0)</f>
        <v>29</v>
      </c>
      <c r="B53" s="327">
        <v>2038</v>
      </c>
      <c r="C53" s="416">
        <f>'VMT to VOC Savings'!C20</f>
        <v>1040288064.5533808</v>
      </c>
      <c r="D53" s="405">
        <f>VLOOKUP('Emissions Per VMT'!$A53, 'Environmental Factors2'!$B$21:$F$349, 'Environmental Factors2'!C$4, FALSE)*'Environmental Factors2'!C51</f>
        <v>801.60053863108124</v>
      </c>
      <c r="E53" s="405">
        <f>VLOOKUP('Emissions Per VMT'!$A53, 'Environmental Factors2'!$B$21:$F$349, 'Environmental Factors2'!D$4, FALSE)*'Environmental Factors2'!D51</f>
        <v>0.57908703766837222</v>
      </c>
      <c r="F53" s="405">
        <f>VLOOKUP('Emissions Per VMT'!$A53, 'Environmental Factors2'!$B$21:$F$349, 'Environmental Factors2'!E$4, FALSE)*'Environmental Factors2'!E51</f>
        <v>7.5342662020460079E-3</v>
      </c>
      <c r="G53" s="405">
        <f>VLOOKUP('Emissions Per VMT'!$A53, 'Environmental Factors2'!$B$21:$F$349, 'Environmental Factors2'!F$4, FALSE)*'Environmental Factors2'!F51</f>
        <v>7.3277510288817507E-3</v>
      </c>
      <c r="H53" s="245"/>
      <c r="I53" s="415">
        <f>ROUND('TDM Data'!$K$6*((1+'TDM Data'!$L$11)^(B18-2025)),0)</f>
        <v>29</v>
      </c>
      <c r="J53" s="327">
        <v>2038</v>
      </c>
      <c r="K53" s="416">
        <f>'VMT to VOC Savings'!G20</f>
        <v>1043935355.2868645</v>
      </c>
      <c r="L53" s="405">
        <f>VLOOKUP('Emissions Per VMT'!$I53, 'Environmental Factors2'!$B$21:$F$34, 'Environmental Factors2'!C$4, FALSE)*'Environmental Factors2'!C51</f>
        <v>801.60053863108124</v>
      </c>
      <c r="M53" s="405">
        <f>VLOOKUP('Emissions Per VMT'!$I53, 'Environmental Factors2'!$B$21:$F$34, 'Environmental Factors2'!D$4, FALSE)*'Environmental Factors2'!D51</f>
        <v>0.57908703766837222</v>
      </c>
      <c r="N53" s="405">
        <f>VLOOKUP('Emissions Per VMT'!$I53, 'Environmental Factors2'!$B$21:$F$34, 'Environmental Factors2'!E$4, FALSE)*'Environmental Factors2'!E51</f>
        <v>7.5342662020460079E-3</v>
      </c>
      <c r="O53" s="405">
        <f>VLOOKUP('Emissions Per VMT'!$I53, 'Environmental Factors2'!$B$21:$F$34, 'Environmental Factors2'!F$4, FALSE)*'Environmental Factors2'!F51</f>
        <v>7.3277510288817507E-3</v>
      </c>
    </row>
    <row r="54" spans="1:15">
      <c r="A54" s="415">
        <f>ROUND('TDM Data'!$K$19*((1+'TDM Data'!$L$24)^(B19-2025)),0)</f>
        <v>29</v>
      </c>
      <c r="B54" s="327">
        <v>2039</v>
      </c>
      <c r="C54" s="416">
        <f>'VMT to VOC Savings'!C21</f>
        <v>1044976025.5040928</v>
      </c>
      <c r="D54" s="405">
        <f>VLOOKUP('Emissions Per VMT'!$A54, 'Environmental Factors2'!$B$21:$F$349, 'Environmental Factors2'!C$4, FALSE)*'Environmental Factors2'!C52</f>
        <v>792.19628689173578</v>
      </c>
      <c r="E54" s="405">
        <f>VLOOKUP('Emissions Per VMT'!$A54, 'Environmental Factors2'!$B$21:$F$349, 'Environmental Factors2'!D$4, FALSE)*'Environmental Factors2'!D52</f>
        <v>0.54754715936638065</v>
      </c>
      <c r="F54" s="405">
        <f>VLOOKUP('Emissions Per VMT'!$A54, 'Environmental Factors2'!$B$21:$F$349, 'Environmental Factors2'!E$4, FALSE)*'Environmental Factors2'!E52</f>
        <v>7.4451451940513568E-3</v>
      </c>
      <c r="G54" s="405">
        <f>VLOOKUP('Emissions Per VMT'!$A54, 'Environmental Factors2'!$B$21:$F$349, 'Environmental Factors2'!F$4, FALSE)*'Environmental Factors2'!F52</f>
        <v>6.9556373004794917E-3</v>
      </c>
      <c r="H54" s="245"/>
      <c r="I54" s="415">
        <f>ROUND('TDM Data'!$K$6*((1+'TDM Data'!$L$11)^(B19-2025)),0)</f>
        <v>29</v>
      </c>
      <c r="J54" s="327">
        <v>2039</v>
      </c>
      <c r="K54" s="416">
        <f>'VMT to VOC Savings'!G21</f>
        <v>1048673738.1559541</v>
      </c>
      <c r="L54" s="405">
        <f>VLOOKUP('Emissions Per VMT'!$I54, 'Environmental Factors2'!$B$21:$F$34, 'Environmental Factors2'!C$4, FALSE)*'Environmental Factors2'!C52</f>
        <v>792.19628689173578</v>
      </c>
      <c r="M54" s="405">
        <f>VLOOKUP('Emissions Per VMT'!$I54, 'Environmental Factors2'!$B$21:$F$34, 'Environmental Factors2'!D$4, FALSE)*'Environmental Factors2'!D52</f>
        <v>0.54754715936638065</v>
      </c>
      <c r="N54" s="405">
        <f>VLOOKUP('Emissions Per VMT'!$I54, 'Environmental Factors2'!$B$21:$F$34, 'Environmental Factors2'!E$4, FALSE)*'Environmental Factors2'!E52</f>
        <v>7.4451451940513568E-3</v>
      </c>
      <c r="O54" s="405">
        <f>VLOOKUP('Emissions Per VMT'!$I54, 'Environmental Factors2'!$B$21:$F$34, 'Environmental Factors2'!F$4, FALSE)*'Environmental Factors2'!F52</f>
        <v>6.9556373004794917E-3</v>
      </c>
    </row>
    <row r="55" spans="1:15">
      <c r="A55" s="415">
        <f>ROUND('TDM Data'!$K$19*((1+'TDM Data'!$L$24)^(B20-2025)),0)</f>
        <v>29</v>
      </c>
      <c r="B55" s="327">
        <v>2040</v>
      </c>
      <c r="C55" s="416">
        <f>'VMT to VOC Savings'!C22</f>
        <v>1049685112.3127514</v>
      </c>
      <c r="D55" s="405">
        <f>VLOOKUP('Emissions Per VMT'!$A55, 'Environmental Factors2'!$B$21:$F$349, 'Environmental Factors2'!C$4, FALSE)*'Environmental Factors2'!C53</f>
        <v>782.90236435816644</v>
      </c>
      <c r="E55" s="405">
        <f>VLOOKUP('Emissions Per VMT'!$A55, 'Environmental Factors2'!$B$21:$F$349, 'Environmental Factors2'!D$4, FALSE)*'Environmental Factors2'!D53</f>
        <v>0.51772509524187393</v>
      </c>
      <c r="F55" s="405">
        <f>VLOOKUP('Emissions Per VMT'!$A55, 'Environmental Factors2'!$B$21:$F$349, 'Environmental Factors2'!E$4, FALSE)*'Environmental Factors2'!E53</f>
        <v>7.3570783768502068E-3</v>
      </c>
      <c r="G55" s="405">
        <f>VLOOKUP('Emissions Per VMT'!$A55, 'Environmental Factors2'!$B$21:$F$349, 'Environmental Factors2'!F$4, FALSE)*'Environmental Factors2'!F53</f>
        <v>6.6024200419927169E-3</v>
      </c>
      <c r="H55" s="245"/>
      <c r="I55" s="415">
        <f>ROUND('TDM Data'!$K$6*((1+'TDM Data'!$L$11)^(B20-2025)),0)</f>
        <v>29</v>
      </c>
      <c r="J55" s="327">
        <v>2040</v>
      </c>
      <c r="K55" s="416">
        <f>'VMT to VOC Savings'!G22</f>
        <v>1053433628.3646508</v>
      </c>
      <c r="L55" s="405">
        <f>VLOOKUP('Emissions Per VMT'!$I55, 'Environmental Factors2'!$B$21:$F$34, 'Environmental Factors2'!C$4, FALSE)*'Environmental Factors2'!C53</f>
        <v>782.90236435816644</v>
      </c>
      <c r="M55" s="405">
        <f>VLOOKUP('Emissions Per VMT'!$I55, 'Environmental Factors2'!$B$21:$F$34, 'Environmental Factors2'!D$4, FALSE)*'Environmental Factors2'!D53</f>
        <v>0.51772509524187393</v>
      </c>
      <c r="N55" s="405">
        <f>VLOOKUP('Emissions Per VMT'!$I55, 'Environmental Factors2'!$B$21:$F$34, 'Environmental Factors2'!E$4, FALSE)*'Environmental Factors2'!E53</f>
        <v>7.3570783768502068E-3</v>
      </c>
      <c r="O55" s="405">
        <f>VLOOKUP('Emissions Per VMT'!$I55, 'Environmental Factors2'!$B$21:$F$34, 'Environmental Factors2'!F$4, FALSE)*'Environmental Factors2'!F53</f>
        <v>6.6024200419927169E-3</v>
      </c>
    </row>
    <row r="56" spans="1:15">
      <c r="A56" s="415">
        <f>ROUND('TDM Data'!$K$19*((1+'TDM Data'!$L$24)^(B21-2025)),0)</f>
        <v>29</v>
      </c>
      <c r="B56" s="327">
        <v>2041</v>
      </c>
      <c r="C56" s="416">
        <f>'VMT to VOC Savings'!C23</f>
        <v>1054415420.1810614</v>
      </c>
      <c r="D56" s="405">
        <f>VLOOKUP('Emissions Per VMT'!$A56, 'Environmental Factors2'!$B$21:$F$349, 'Environmental Factors2'!C$4, FALSE)*'Environmental Factors2'!C54</f>
        <v>773.71747666544309</v>
      </c>
      <c r="E56" s="405">
        <f>VLOOKUP('Emissions Per VMT'!$A56, 'Environmental Factors2'!$B$21:$F$349, 'Environmental Factors2'!D$4, FALSE)*'Environmental Factors2'!D54</f>
        <v>0.48952728483402486</v>
      </c>
      <c r="F56" s="405">
        <f>VLOOKUP('Emissions Per VMT'!$A56, 'Environmental Factors2'!$B$21:$F$349, 'Environmental Factors2'!E$4, FALSE)*'Environmental Factors2'!E54</f>
        <v>7.2700532806752819E-3</v>
      </c>
      <c r="G56" s="405">
        <f>VLOOKUP('Emissions Per VMT'!$A56, 'Environmental Factors2'!$B$21:$F$349, 'Environmental Factors2'!F$4, FALSE)*'Environmental Factors2'!F54</f>
        <v>6.2671396635218569E-3</v>
      </c>
      <c r="H56" s="245"/>
      <c r="I56" s="415">
        <f>ROUND('TDM Data'!$K$6*((1+'TDM Data'!$L$11)^(B21-2025)),0)</f>
        <v>29</v>
      </c>
      <c r="J56" s="327">
        <v>2041</v>
      </c>
      <c r="K56" s="416">
        <f>'VMT to VOC Savings'!G23</f>
        <v>1058215123.5339512</v>
      </c>
      <c r="L56" s="405">
        <f>VLOOKUP('Emissions Per VMT'!$I56, 'Environmental Factors2'!$B$21:$F$34, 'Environmental Factors2'!C$4, FALSE)*'Environmental Factors2'!C54</f>
        <v>773.71747666544309</v>
      </c>
      <c r="M56" s="405">
        <f>VLOOKUP('Emissions Per VMT'!$I56, 'Environmental Factors2'!$B$21:$F$34, 'Environmental Factors2'!D$4, FALSE)*'Environmental Factors2'!D54</f>
        <v>0.48952728483402486</v>
      </c>
      <c r="N56" s="405">
        <f>VLOOKUP('Emissions Per VMT'!$I56, 'Environmental Factors2'!$B$21:$F$34, 'Environmental Factors2'!E$4, FALSE)*'Environmental Factors2'!E54</f>
        <v>7.2700532806752819E-3</v>
      </c>
      <c r="O56" s="405">
        <f>VLOOKUP('Emissions Per VMT'!$I56, 'Environmental Factors2'!$B$21:$F$34, 'Environmental Factors2'!F$4, FALSE)*'Environmental Factors2'!F54</f>
        <v>6.2671396635218569E-3</v>
      </c>
    </row>
    <row r="57" spans="1:15">
      <c r="A57" s="415">
        <f>ROUND('TDM Data'!$K$19*((1+'TDM Data'!$L$24)^(B22-2025)),0)</f>
        <v>29</v>
      </c>
      <c r="B57" s="327">
        <v>2042</v>
      </c>
      <c r="C57" s="416">
        <f>'VMT to VOC Savings'!C24</f>
        <v>1059167044.739745</v>
      </c>
      <c r="D57" s="405">
        <f>VLOOKUP('Emissions Per VMT'!$A57, 'Environmental Factors2'!$B$21:$F$349, 'Environmental Factors2'!C$4, FALSE)*'Environmental Factors2'!C55</f>
        <v>764.6403446339217</v>
      </c>
      <c r="E57" s="405">
        <f>VLOOKUP('Emissions Per VMT'!$A57, 'Environmental Factors2'!$B$21:$F$349, 'Environmental Factors2'!D$4, FALSE)*'Environmental Factors2'!D55</f>
        <v>0.46286526343680034</v>
      </c>
      <c r="F57" s="405">
        <f>VLOOKUP('Emissions Per VMT'!$A57, 'Environmental Factors2'!$B$21:$F$349, 'Environmental Factors2'!E$4, FALSE)*'Environmental Factors2'!E55</f>
        <v>7.1840575832611588E-3</v>
      </c>
      <c r="G57" s="405">
        <f>VLOOKUP('Emissions Per VMT'!$A57, 'Environmental Factors2'!$B$21:$F$349, 'Environmental Factors2'!F$4, FALSE)*'Environmental Factors2'!F55</f>
        <v>5.9488853045215236E-3</v>
      </c>
      <c r="H57" s="245"/>
      <c r="I57" s="415">
        <f>ROUND('TDM Data'!$K$6*((1+'TDM Data'!$L$11)^(B22-2025)),0)</f>
        <v>29</v>
      </c>
      <c r="J57" s="327">
        <v>2042</v>
      </c>
      <c r="K57" s="416">
        <f>'VMT to VOC Savings'!G24</f>
        <v>1063018321.7279494</v>
      </c>
      <c r="L57" s="405">
        <f>VLOOKUP('Emissions Per VMT'!$I57, 'Environmental Factors2'!$B$21:$F$34, 'Environmental Factors2'!C$4, FALSE)*'Environmental Factors2'!C55</f>
        <v>764.6403446339217</v>
      </c>
      <c r="M57" s="405">
        <f>VLOOKUP('Emissions Per VMT'!$I57, 'Environmental Factors2'!$B$21:$F$34, 'Environmental Factors2'!D$4, FALSE)*'Environmental Factors2'!D55</f>
        <v>0.46286526343680034</v>
      </c>
      <c r="N57" s="405">
        <f>VLOOKUP('Emissions Per VMT'!$I57, 'Environmental Factors2'!$B$21:$F$34, 'Environmental Factors2'!E$4, FALSE)*'Environmental Factors2'!E55</f>
        <v>7.1840575832611588E-3</v>
      </c>
      <c r="O57" s="405">
        <f>VLOOKUP('Emissions Per VMT'!$I57, 'Environmental Factors2'!$B$21:$F$34, 'Environmental Factors2'!F$4, FALSE)*'Environmental Factors2'!F55</f>
        <v>5.9488853045215236E-3</v>
      </c>
    </row>
    <row r="58" spans="1:15">
      <c r="A58" s="415">
        <f>ROUND('TDM Data'!$K$19*((1+'TDM Data'!$L$24)^(B23-2025)),0)</f>
        <v>29</v>
      </c>
      <c r="B58" s="327">
        <v>2043</v>
      </c>
      <c r="C58" s="416">
        <f>'VMT to VOC Savings'!C25</f>
        <v>1063940082.0504755</v>
      </c>
      <c r="D58" s="405">
        <f>VLOOKUP('Emissions Per VMT'!$A58, 'Environmental Factors2'!$B$21:$F$349, 'Environmental Factors2'!C$4, FALSE)*'Environmental Factors2'!C56</f>
        <v>755.66970409109297</v>
      </c>
      <c r="E58" s="405">
        <f>VLOOKUP('Emissions Per VMT'!$A58, 'Environmental Factors2'!$B$21:$F$349, 'Environmental Factors2'!D$4, FALSE)*'Environmental Factors2'!D56</f>
        <v>0.43765538455953173</v>
      </c>
      <c r="F58" s="405">
        <f>VLOOKUP('Emissions Per VMT'!$A58, 'Environmental Factors2'!$B$21:$F$349, 'Environmental Factors2'!E$4, FALSE)*'Environmental Factors2'!E56</f>
        <v>7.0990791080995054E-3</v>
      </c>
      <c r="G58" s="405">
        <f>VLOOKUP('Emissions Per VMT'!$A58, 'Environmental Factors2'!$B$21:$F$349, 'Environmental Factors2'!F$4, FALSE)*'Environmental Factors2'!F56</f>
        <v>5.646792359253877E-3</v>
      </c>
      <c r="H58" s="245"/>
      <c r="I58" s="415">
        <f>ROUND('TDM Data'!$K$6*((1+'TDM Data'!$L$11)^(B23-2025)),0)</f>
        <v>29</v>
      </c>
      <c r="J58" s="327">
        <v>2043</v>
      </c>
      <c r="K58" s="416">
        <f>'VMT to VOC Savings'!G25</f>
        <v>1067843321.4558492</v>
      </c>
      <c r="L58" s="405">
        <f>VLOOKUP('Emissions Per VMT'!$I58, 'Environmental Factors2'!$B$21:$F$34, 'Environmental Factors2'!C$4, FALSE)*'Environmental Factors2'!C56</f>
        <v>755.66970409109297</v>
      </c>
      <c r="M58" s="405">
        <f>VLOOKUP('Emissions Per VMT'!$I58, 'Environmental Factors2'!$B$21:$F$34, 'Environmental Factors2'!D$4, FALSE)*'Environmental Factors2'!D56</f>
        <v>0.43765538455953173</v>
      </c>
      <c r="N58" s="405">
        <f>VLOOKUP('Emissions Per VMT'!$I58, 'Environmental Factors2'!$B$21:$F$34, 'Environmental Factors2'!E$4, FALSE)*'Environmental Factors2'!E56</f>
        <v>7.0990791080995054E-3</v>
      </c>
      <c r="O58" s="405">
        <f>VLOOKUP('Emissions Per VMT'!$I58, 'Environmental Factors2'!$B$21:$F$34, 'Environmental Factors2'!F$4, FALSE)*'Environmental Factors2'!F56</f>
        <v>5.646792359253877E-3</v>
      </c>
    </row>
    <row r="59" spans="1:15">
      <c r="A59" s="415">
        <f>ROUND('TDM Data'!$K$19*((1+'TDM Data'!$L$24)^(B24-2025)),0)</f>
        <v>29</v>
      </c>
      <c r="B59" s="327">
        <v>2044</v>
      </c>
      <c r="C59" s="416">
        <f>'VMT to VOC Savings'!C26</f>
        <v>1068734628.607819</v>
      </c>
      <c r="D59" s="405">
        <f>VLOOKUP('Emissions Per VMT'!$A59, 'Environmental Factors2'!$B$21:$F$349, 'Environmental Factors2'!C$4, FALSE)*'Environmental Factors2'!C57</f>
        <v>746.80430569552129</v>
      </c>
      <c r="E59" s="405">
        <f>VLOOKUP('Emissions Per VMT'!$A59, 'Environmental Factors2'!$B$21:$F$349, 'Environmental Factors2'!D$4, FALSE)*'Environmental Factors2'!D57</f>
        <v>0.41381855750362395</v>
      </c>
      <c r="F59" s="405">
        <f>VLOOKUP('Emissions Per VMT'!$A59, 'Environmental Factors2'!$B$21:$F$349, 'Environmental Factors2'!E$4, FALSE)*'Environmental Factors2'!E57</f>
        <v>7.0151058227149532E-3</v>
      </c>
      <c r="G59" s="405">
        <f>VLOOKUP('Emissions Per VMT'!$A59, 'Environmental Factors2'!$B$21:$F$349, 'Environmental Factors2'!F$4, FALSE)*'Environmental Factors2'!F57</f>
        <v>5.3600401279030241E-3</v>
      </c>
      <c r="H59" s="245"/>
      <c r="I59" s="415">
        <f>ROUND('TDM Data'!$K$6*((1+'TDM Data'!$L$11)^(B24-2025)),0)</f>
        <v>29</v>
      </c>
      <c r="J59" s="327">
        <v>2044</v>
      </c>
      <c r="K59" s="416">
        <f>'VMT to VOC Savings'!G26</f>
        <v>1072690221.6739836</v>
      </c>
      <c r="L59" s="405">
        <f>VLOOKUP('Emissions Per VMT'!$I59, 'Environmental Factors2'!$B$21:$F$34, 'Environmental Factors2'!C$4, FALSE)*'Environmental Factors2'!C57</f>
        <v>746.80430569552129</v>
      </c>
      <c r="M59" s="405">
        <f>VLOOKUP('Emissions Per VMT'!$I59, 'Environmental Factors2'!$B$21:$F$34, 'Environmental Factors2'!D$4, FALSE)*'Environmental Factors2'!D57</f>
        <v>0.41381855750362395</v>
      </c>
      <c r="N59" s="405">
        <f>VLOOKUP('Emissions Per VMT'!$I59, 'Environmental Factors2'!$B$21:$F$34, 'Environmental Factors2'!E$4, FALSE)*'Environmental Factors2'!E57</f>
        <v>7.0151058227149532E-3</v>
      </c>
      <c r="O59" s="405">
        <f>VLOOKUP('Emissions Per VMT'!$I59, 'Environmental Factors2'!$B$21:$F$34, 'Environmental Factors2'!F$4, FALSE)*'Environmental Factors2'!F57</f>
        <v>5.3600401279030241E-3</v>
      </c>
    </row>
    <row r="60" spans="1:15">
      <c r="A60" s="415">
        <f>ROUND('TDM Data'!$K$19*((1+'TDM Data'!$L$24)^(B25-2025)),0)</f>
        <v>29</v>
      </c>
      <c r="B60" s="327">
        <v>2045</v>
      </c>
      <c r="C60" s="416">
        <f>'VMT to VOC Savings'!C27</f>
        <v>1073550781.3411852</v>
      </c>
      <c r="D60" s="405">
        <f>VLOOKUP('Emissions Per VMT'!$A60, 'Environmental Factors2'!$B$21:$F$349, 'Environmental Factors2'!C$4, FALSE)*'Environmental Factors2'!C58</f>
        <v>738.04291476284868</v>
      </c>
      <c r="E60" s="405">
        <f>VLOOKUP('Emissions Per VMT'!$A60, 'Environmental Factors2'!$B$21:$F$349, 'Environmental Factors2'!D$4, FALSE)*'Environmental Factors2'!D58</f>
        <v>0.39127999923210482</v>
      </c>
      <c r="F60" s="405">
        <f>VLOOKUP('Emissions Per VMT'!$A60, 'Environmental Factors2'!$B$21:$F$349, 'Environmental Factors2'!E$4, FALSE)*'Environmental Factors2'!E58</f>
        <v>6.9321258369613665E-3</v>
      </c>
      <c r="G60" s="405">
        <f>VLOOKUP('Emissions Per VMT'!$A60, 'Environmental Factors2'!$B$21:$F$349, 'Environmental Factors2'!F$4, FALSE)*'Environmental Factors2'!F58</f>
        <v>5.0878495869692E-3</v>
      </c>
      <c r="H60" s="245"/>
      <c r="I60" s="415">
        <f>ROUND('TDM Data'!$K$6*((1+'TDM Data'!$L$11)^(B25-2025)),0)</f>
        <v>29</v>
      </c>
      <c r="J60" s="327">
        <v>2045</v>
      </c>
      <c r="K60" s="416">
        <f>'VMT to VOC Savings'!G27</f>
        <v>1077559121.7878447</v>
      </c>
      <c r="L60" s="405">
        <f>VLOOKUP('Emissions Per VMT'!$I60, 'Environmental Factors2'!$B$21:$F$34, 'Environmental Factors2'!C$4, FALSE)*'Environmental Factors2'!C58</f>
        <v>738.04291476284868</v>
      </c>
      <c r="M60" s="405">
        <f>VLOOKUP('Emissions Per VMT'!$I60, 'Environmental Factors2'!$B$21:$F$34, 'Environmental Factors2'!D$4, FALSE)*'Environmental Factors2'!D58</f>
        <v>0.39127999923210482</v>
      </c>
      <c r="N60" s="405">
        <f>VLOOKUP('Emissions Per VMT'!$I60, 'Environmental Factors2'!$B$21:$F$34, 'Environmental Factors2'!E$4, FALSE)*'Environmental Factors2'!E58</f>
        <v>6.9321258369613665E-3</v>
      </c>
      <c r="O60" s="405">
        <f>VLOOKUP('Emissions Per VMT'!$I60, 'Environmental Factors2'!$B$21:$F$34, 'Environmental Factors2'!F$4, FALSE)*'Environmental Factors2'!F58</f>
        <v>5.0878495869692E-3</v>
      </c>
    </row>
    <row r="61" spans="1:15">
      <c r="A61" s="415">
        <f>ROUND('TDM Data'!$K$19*((1+'TDM Data'!$L$24)^(B26-2025)),0)</f>
        <v>29</v>
      </c>
      <c r="B61" s="327">
        <v>2046</v>
      </c>
      <c r="C61" s="416">
        <f>'VMT to VOC Savings'!C28</f>
        <v>1078388637.6167874</v>
      </c>
      <c r="D61" s="405">
        <f>VLOOKUP('Emissions Per VMT'!$A61, 'Environmental Factors2'!$B$21:$F$349, 'Environmental Factors2'!C$4, FALSE)*'Environmental Factors2'!C59</f>
        <v>729.38431109384032</v>
      </c>
      <c r="E61" s="405">
        <f>VLOOKUP('Emissions Per VMT'!$A61, 'Environmental Factors2'!$B$21:$F$349, 'Environmental Factors2'!D$4, FALSE)*'Environmental Factors2'!D59</f>
        <v>0.3699689997535579</v>
      </c>
      <c r="F61" s="405">
        <f>VLOOKUP('Emissions Per VMT'!$A61, 'Environmental Factors2'!$B$21:$F$349, 'Environmental Factors2'!E$4, FALSE)*'Environmental Factors2'!E59</f>
        <v>6.8501274013382683E-3</v>
      </c>
      <c r="G61" s="405">
        <f>VLOOKUP('Emissions Per VMT'!$A61, 'Environmental Factors2'!$B$21:$F$349, 'Environmental Factors2'!F$4, FALSE)*'Environmental Factors2'!F59</f>
        <v>4.8294812728855363E-3</v>
      </c>
      <c r="H61" s="245"/>
      <c r="I61" s="415">
        <f>ROUND('TDM Data'!$K$6*((1+'TDM Data'!$L$11)^(B26-2025)),0)</f>
        <v>29</v>
      </c>
      <c r="J61" s="327">
        <v>2046</v>
      </c>
      <c r="K61" s="416">
        <f>'VMT to VOC Savings'!G28</f>
        <v>1082450121.6541224</v>
      </c>
      <c r="L61" s="405">
        <f>VLOOKUP('Emissions Per VMT'!$I61, 'Environmental Factors2'!$B$21:$F$34, 'Environmental Factors2'!C$4, FALSE)*'Environmental Factors2'!C59</f>
        <v>729.38431109384032</v>
      </c>
      <c r="M61" s="405">
        <f>VLOOKUP('Emissions Per VMT'!$I61, 'Environmental Factors2'!$B$21:$F$34, 'Environmental Factors2'!D$4, FALSE)*'Environmental Factors2'!D59</f>
        <v>0.3699689997535579</v>
      </c>
      <c r="N61" s="405">
        <f>VLOOKUP('Emissions Per VMT'!$I61, 'Environmental Factors2'!$B$21:$F$34, 'Environmental Factors2'!E$4, FALSE)*'Environmental Factors2'!E59</f>
        <v>6.8501274013382683E-3</v>
      </c>
      <c r="O61" s="405">
        <f>VLOOKUP('Emissions Per VMT'!$I61, 'Environmental Factors2'!$B$21:$F$34, 'Environmental Factors2'!F$4, FALSE)*'Environmental Factors2'!F59</f>
        <v>4.8294812728855363E-3</v>
      </c>
    </row>
    <row r="62" spans="1:15">
      <c r="A62" s="415">
        <f>ROUND('TDM Data'!$K$19*((1+'TDM Data'!$L$24)^(B27-2025)),0)</f>
        <v>29</v>
      </c>
      <c r="B62" s="327">
        <v>2047</v>
      </c>
      <c r="C62" s="416">
        <f>'VMT to VOC Savings'!C29</f>
        <v>1083248295.2396107</v>
      </c>
      <c r="D62" s="405">
        <f>VLOOKUP('Emissions Per VMT'!$A62, 'Environmental Factors2'!$B$21:$F$349, 'Environmental Factors2'!C$4, FALSE)*'Environmental Factors2'!C60</f>
        <v>720.82728880444733</v>
      </c>
      <c r="E62" s="405">
        <f>VLOOKUP('Emissions Per VMT'!$A62, 'Environmental Factors2'!$B$21:$F$349, 'Environmental Factors2'!D$4, FALSE)*'Environmental Factors2'!D60</f>
        <v>0.34981870028438</v>
      </c>
      <c r="F62" s="405">
        <f>VLOOKUP('Emissions Per VMT'!$A62, 'Environmental Factors2'!$B$21:$F$349, 'Environmental Factors2'!E$4, FALSE)*'Environmental Factors2'!E60</f>
        <v>6.7690989053271686E-3</v>
      </c>
      <c r="G62" s="405">
        <f>VLOOKUP('Emissions Per VMT'!$A62, 'Environmental Factors2'!$B$21:$F$349, 'Environmental Factors2'!F$4, FALSE)*'Environmental Factors2'!F60</f>
        <v>4.5842332731078237E-3</v>
      </c>
      <c r="H62" s="245"/>
      <c r="I62" s="415">
        <f>ROUND('TDM Data'!$K$6*((1+'TDM Data'!$L$11)^(B27-2025)),0)</f>
        <v>29</v>
      </c>
      <c r="J62" s="327">
        <v>2047</v>
      </c>
      <c r="K62" s="416">
        <f>'VMT to VOC Savings'!G29</f>
        <v>1087363321.5827525</v>
      </c>
      <c r="L62" s="405">
        <f>VLOOKUP('Emissions Per VMT'!$I62, 'Environmental Factors2'!$B$21:$F$34, 'Environmental Factors2'!C$4, FALSE)*'Environmental Factors2'!C60</f>
        <v>720.82728880444733</v>
      </c>
      <c r="M62" s="405">
        <f>VLOOKUP('Emissions Per VMT'!$I62, 'Environmental Factors2'!$B$21:$F$34, 'Environmental Factors2'!D$4, FALSE)*'Environmental Factors2'!D60</f>
        <v>0.34981870028438</v>
      </c>
      <c r="N62" s="405">
        <f>VLOOKUP('Emissions Per VMT'!$I62, 'Environmental Factors2'!$B$21:$F$34, 'Environmental Factors2'!E$4, FALSE)*'Environmental Factors2'!E60</f>
        <v>6.7690989053271686E-3</v>
      </c>
      <c r="O62" s="405">
        <f>VLOOKUP('Emissions Per VMT'!$I62, 'Environmental Factors2'!$B$21:$F$34, 'Environmental Factors2'!F$4, FALSE)*'Environmental Factors2'!F60</f>
        <v>4.5842332731078237E-3</v>
      </c>
    </row>
    <row r="63" spans="1:15">
      <c r="A63" s="415">
        <f>ROUND('TDM Data'!$K$19*((1+'TDM Data'!$L$24)^(B28-2025)),0)</f>
        <v>29</v>
      </c>
      <c r="B63" s="327">
        <v>2048</v>
      </c>
      <c r="C63" s="416">
        <f>'VMT to VOC Savings'!C30</f>
        <v>1088129852.455389</v>
      </c>
      <c r="D63" s="405">
        <f>VLOOKUP('Emissions Per VMT'!$A63, 'Environmental Factors2'!$B$21:$F$349, 'Environmental Factors2'!C$4, FALSE)*'Environmental Factors2'!C61</f>
        <v>712.37065615786321</v>
      </c>
      <c r="E63" s="405">
        <f>VLOOKUP('Emissions Per VMT'!$A63, 'Environmental Factors2'!$B$21:$F$349, 'Environmental Factors2'!D$4, FALSE)*'Environmental Factors2'!D61</f>
        <v>0.3307658834933942</v>
      </c>
      <c r="F63" s="405">
        <f>VLOOKUP('Emissions Per VMT'!$A63, 'Environmental Factors2'!$B$21:$F$349, 'Environmental Factors2'!E$4, FALSE)*'Environmental Factors2'!E61</f>
        <v>6.6890288757475895E-3</v>
      </c>
      <c r="G63" s="405">
        <f>VLOOKUP('Emissions Per VMT'!$A63, 'Environmental Factors2'!$B$21:$F$349, 'Environmental Factors2'!F$4, FALSE)*'Environmental Factors2'!F61</f>
        <v>4.3514393192196051E-3</v>
      </c>
      <c r="H63" s="245"/>
      <c r="I63" s="415">
        <f>ROUND('TDM Data'!$K$6*((1+'TDM Data'!$L$11)^(B28-2025)),0)</f>
        <v>29</v>
      </c>
      <c r="J63" s="327">
        <v>2048</v>
      </c>
      <c r="K63" s="416">
        <f>'VMT to VOC Savings'!G30</f>
        <v>1092298822.3389733</v>
      </c>
      <c r="L63" s="405">
        <f>VLOOKUP('Emissions Per VMT'!$I63, 'Environmental Factors2'!$B$21:$F$34, 'Environmental Factors2'!C$4, FALSE)*'Environmental Factors2'!C61</f>
        <v>712.37065615786321</v>
      </c>
      <c r="M63" s="405">
        <f>VLOOKUP('Emissions Per VMT'!$I63, 'Environmental Factors2'!$B$21:$F$34, 'Environmental Factors2'!D$4, FALSE)*'Environmental Factors2'!D61</f>
        <v>0.3307658834933942</v>
      </c>
      <c r="N63" s="405">
        <f>VLOOKUP('Emissions Per VMT'!$I63, 'Environmental Factors2'!$B$21:$F$34, 'Environmental Factors2'!E$4, FALSE)*'Environmental Factors2'!E61</f>
        <v>6.6890288757475895E-3</v>
      </c>
      <c r="O63" s="405">
        <f>VLOOKUP('Emissions Per VMT'!$I63, 'Environmental Factors2'!$B$21:$F$34, 'Environmental Factors2'!F$4, FALSE)*'Environmental Factors2'!F61</f>
        <v>4.3514393192196051E-3</v>
      </c>
    </row>
    <row r="64" spans="1:15">
      <c r="A64" s="415">
        <f>ROUND('TDM Data'!$K$19*((1+'TDM Data'!$L$24)^(B29-2025)),0)</f>
        <v>29</v>
      </c>
      <c r="B64" s="327">
        <v>2049</v>
      </c>
      <c r="C64" s="416">
        <f>'VMT to VOC Savings'!C31</f>
        <v>1093033407.9525914</v>
      </c>
      <c r="D64" s="405">
        <f>VLOOKUP('Emissions Per VMT'!$A64, 'Environmental Factors2'!$B$21:$F$349, 'Environmental Factors2'!C$4, FALSE)*'Environmental Factors2'!C62</f>
        <v>704.01323539855105</v>
      </c>
      <c r="E64" s="405">
        <f>VLOOKUP('Emissions Per VMT'!$A64, 'Environmental Factors2'!$B$21:$F$349, 'Environmental Factors2'!D$4, FALSE)*'Environmental Factors2'!D62</f>
        <v>0.31275077517075428</v>
      </c>
      <c r="F64" s="405">
        <f>VLOOKUP('Emissions Per VMT'!$A64, 'Environmental Factors2'!$B$21:$F$349, 'Environmental Factors2'!E$4, FALSE)*'Environmental Factors2'!E62</f>
        <v>6.6099059751325217E-3</v>
      </c>
      <c r="G64" s="405">
        <f>VLOOKUP('Emissions Per VMT'!$A64, 'Environmental Factors2'!$B$21:$F$349, 'Environmental Factors2'!F$4, FALSE)*'Environmental Factors2'!F62</f>
        <v>4.1304669768721467E-3</v>
      </c>
      <c r="H64" s="245"/>
      <c r="I64" s="415">
        <f>ROUND('TDM Data'!$K$6*((1+'TDM Data'!$L$11)^(B29-2025)),0)</f>
        <v>29</v>
      </c>
      <c r="J64" s="327">
        <v>2049</v>
      </c>
      <c r="K64" s="416">
        <f>'VMT to VOC Savings'!G31</f>
        <v>1097256725.1453931</v>
      </c>
      <c r="L64" s="405">
        <f>VLOOKUP('Emissions Per VMT'!$I64, 'Environmental Factors2'!$B$21:$F$34, 'Environmental Factors2'!C$4, FALSE)*'Environmental Factors2'!C62</f>
        <v>704.01323539855105</v>
      </c>
      <c r="M64" s="405">
        <f>VLOOKUP('Emissions Per VMT'!$I64, 'Environmental Factors2'!$B$21:$F$34, 'Environmental Factors2'!D$4, FALSE)*'Environmental Factors2'!D62</f>
        <v>0.31275077517075428</v>
      </c>
      <c r="N64" s="405">
        <f>VLOOKUP('Emissions Per VMT'!$I64, 'Environmental Factors2'!$B$21:$F$34, 'Environmental Factors2'!E$4, FALSE)*'Environmental Factors2'!E62</f>
        <v>6.6099059751325217E-3</v>
      </c>
      <c r="O64" s="405">
        <f>VLOOKUP('Emissions Per VMT'!$I64, 'Environmental Factors2'!$B$21:$F$34, 'Environmental Factors2'!F$4, FALSE)*'Environmental Factors2'!F62</f>
        <v>4.1304669768721467E-3</v>
      </c>
    </row>
    <row r="65" spans="1:15">
      <c r="A65" s="415">
        <f>ROUND('TDM Data'!$K$19*((1+'TDM Data'!$L$24)^(B30-2025)),0)</f>
        <v>28</v>
      </c>
      <c r="B65" s="327">
        <v>2050</v>
      </c>
      <c r="C65" s="416">
        <f>'VMT to VOC Savings'!C32</f>
        <v>1097959060.8644176</v>
      </c>
      <c r="D65" s="405">
        <f>VLOOKUP('Emissions Per VMT'!$A65, 'Environmental Factors2'!$B$21:$F$349, 'Environmental Factors2'!C$4, FALSE)*'Environmental Factors2'!C63</f>
        <v>702.79081190691204</v>
      </c>
      <c r="E65" s="405">
        <f>VLOOKUP('Emissions Per VMT'!$A65, 'Environmental Factors2'!$B$21:$F$349, 'Environmental Factors2'!D$4, FALSE)*'Environmental Factors2'!D63</f>
        <v>0.30187179600580377</v>
      </c>
      <c r="F65" s="405">
        <f>VLOOKUP('Emissions Per VMT'!$A65, 'Environmental Factors2'!$B$21:$F$349, 'Environmental Factors2'!E$4, FALSE)*'Environmental Factors2'!E63</f>
        <v>6.6051091012480816E-3</v>
      </c>
      <c r="G65" s="405">
        <f>VLOOKUP('Emissions Per VMT'!$A65, 'Environmental Factors2'!$B$21:$F$349, 'Environmental Factors2'!F$4, FALSE)*'Environmental Factors2'!F63</f>
        <v>4.1528635812522275E-3</v>
      </c>
      <c r="H65" s="245"/>
      <c r="I65" s="415">
        <f>ROUND('TDM Data'!$K$6*((1+'TDM Data'!$L$11)^(B30-2025)),0)</f>
        <v>29</v>
      </c>
      <c r="J65" s="327">
        <v>2050</v>
      </c>
      <c r="K65" s="416">
        <f>'VMT to VOC Savings'!G32</f>
        <v>1102237131.6840658</v>
      </c>
      <c r="L65" s="405">
        <f>VLOOKUP('Emissions Per VMT'!$I65, 'Environmental Factors2'!$B$21:$F$34, 'Environmental Factors2'!C$4, FALSE)*'Environmental Factors2'!C63</f>
        <v>695.75386258821641</v>
      </c>
      <c r="M65" s="405">
        <f>VLOOKUP('Emissions Per VMT'!$I65, 'Environmental Factors2'!$B$21:$F$34, 'Environmental Factors2'!D$4, FALSE)*'Environmental Factors2'!D63</f>
        <v>0.29571685669891995</v>
      </c>
      <c r="N65" s="405">
        <f>VLOOKUP('Emissions Per VMT'!$I65, 'Environmental Factors2'!$B$21:$F$34, 'Environmental Factors2'!E$4, FALSE)*'Environmental Factors2'!E63</f>
        <v>6.531719000123103E-3</v>
      </c>
      <c r="O65" s="405">
        <f>VLOOKUP('Emissions Per VMT'!$I65, 'Environmental Factors2'!$B$21:$F$34, 'Environmental Factors2'!F$4, FALSE)*'Environmental Factors2'!F63</f>
        <v>3.9207159276418548E-3</v>
      </c>
    </row>
    <row r="66" spans="1:15">
      <c r="A66" s="415">
        <f>ROUND('TDM Data'!$K$19*((1+'TDM Data'!$L$24)^(B31-2025)),0)</f>
        <v>28</v>
      </c>
      <c r="B66" s="327">
        <v>2051</v>
      </c>
      <c r="C66" s="416">
        <f>'VMT to VOC Savings'!C33</f>
        <v>1097959060.8644176</v>
      </c>
      <c r="D66" s="405">
        <f>VLOOKUP('Emissions Per VMT'!$A66, 'Environmental Factors2'!$B$21:$F$349, 'Environmental Factors2'!C$4, FALSE)*'Environmental Factors2'!C64</f>
        <v>694.54578037716976</v>
      </c>
      <c r="E66" s="405">
        <f>VLOOKUP('Emissions Per VMT'!$A66, 'Environmental Factors2'!$B$21:$F$349, 'Environmental Factors2'!D$4, FALSE)*'Environmental Factors2'!D64</f>
        <v>0.28543039930806058</v>
      </c>
      <c r="F66" s="405">
        <f>VLOOKUP('Emissions Per VMT'!$A66, 'Environmental Factors2'!$B$21:$F$349, 'Environmental Factors2'!E$4, FALSE)*'Environmental Factors2'!E64</f>
        <v>6.5269788672966964E-3</v>
      </c>
      <c r="G66" s="405">
        <f>VLOOKUP('Emissions Per VMT'!$A66, 'Environmental Factors2'!$B$21:$F$349, 'Environmental Factors2'!F$4, FALSE)*'Environmental Factors2'!F64</f>
        <v>3.9419752002639958E-3</v>
      </c>
      <c r="H66" s="245"/>
      <c r="I66" s="415">
        <f>ROUND('TDM Data'!$K$6*((1+'TDM Data'!$L$11)^(B31-2025)),0)</f>
        <v>28</v>
      </c>
      <c r="J66" s="327">
        <v>2051</v>
      </c>
      <c r="K66" s="416">
        <f>'VMT to VOC Savings'!G33</f>
        <v>1102237131.6840658</v>
      </c>
      <c r="L66" s="405">
        <f>VLOOKUP('Emissions Per VMT'!$I66, 'Environmental Factors2'!$B$21:$F$34, 'Environmental Factors2'!C$4, FALSE)*'Environmental Factors2'!C64</f>
        <v>694.54578037716976</v>
      </c>
      <c r="M66" s="405">
        <f>VLOOKUP('Emissions Per VMT'!$I66, 'Environmental Factors2'!$B$21:$F$34, 'Environmental Factors2'!D$4, FALSE)*'Environmental Factors2'!D64</f>
        <v>0.28543039930806058</v>
      </c>
      <c r="N66" s="405">
        <f>VLOOKUP('Emissions Per VMT'!$I66, 'Environmental Factors2'!$B$21:$F$34, 'Environmental Factors2'!E$4, FALSE)*'Environmental Factors2'!E64</f>
        <v>6.5269788672966964E-3</v>
      </c>
      <c r="O66" s="405">
        <f>VLOOKUP('Emissions Per VMT'!$I66, 'Environmental Factors2'!$B$21:$F$34, 'Environmental Factors2'!F$4, FALSE)*'Environmental Factors2'!F64</f>
        <v>3.9419752002639958E-3</v>
      </c>
    </row>
    <row r="67" spans="1:15">
      <c r="A67" s="415">
        <f>ROUND('TDM Data'!$K$19*((1+'TDM Data'!$L$24)^(B32-2025)),0)</f>
        <v>28</v>
      </c>
      <c r="B67" s="327">
        <v>2052</v>
      </c>
      <c r="C67" s="416">
        <f>'VMT to VOC Savings'!C34</f>
        <v>1097959060.8644176</v>
      </c>
      <c r="D67" s="405">
        <f>VLOOKUP('Emissions Per VMT'!$A67, 'Environmental Factors2'!$B$21:$F$349, 'Environmental Factors2'!C$4, FALSE)*'Environmental Factors2'!C65</f>
        <v>686.39747826359906</v>
      </c>
      <c r="E67" s="405">
        <f>VLOOKUP('Emissions Per VMT'!$A67, 'Environmental Factors2'!$B$21:$F$349, 'Environmental Factors2'!D$4, FALSE)*'Environmental Factors2'!D65</f>
        <v>0.26988448052163361</v>
      </c>
      <c r="F67" s="405">
        <f>VLOOKUP('Emissions Per VMT'!$A67, 'Environmental Factors2'!$B$21:$F$349, 'Environmental Factors2'!E$4, FALSE)*'Environmental Factors2'!E65</f>
        <v>6.4497728169376975E-3</v>
      </c>
      <c r="G67" s="405">
        <f>VLOOKUP('Emissions Per VMT'!$A67, 'Environmental Factors2'!$B$21:$F$349, 'Environmental Factors2'!F$4, FALSE)*'Environmental Factors2'!F65</f>
        <v>3.7417960343428345E-3</v>
      </c>
      <c r="H67" s="245"/>
      <c r="I67" s="415">
        <f>ROUND('TDM Data'!$K$6*((1+'TDM Data'!$L$11)^(B32-2025)),0)</f>
        <v>28</v>
      </c>
      <c r="J67" s="327">
        <v>2052</v>
      </c>
      <c r="K67" s="416">
        <f>'VMT to VOC Savings'!G34</f>
        <v>1102237131.6840658</v>
      </c>
      <c r="L67" s="405">
        <f>VLOOKUP('Emissions Per VMT'!$I67, 'Environmental Factors2'!$B$21:$F$34, 'Environmental Factors2'!C$4, FALSE)*'Environmental Factors2'!C65</f>
        <v>686.39747826359906</v>
      </c>
      <c r="M67" s="405">
        <f>VLOOKUP('Emissions Per VMT'!$I67, 'Environmental Factors2'!$B$21:$F$34, 'Environmental Factors2'!D$4, FALSE)*'Environmental Factors2'!D65</f>
        <v>0.26988448052163361</v>
      </c>
      <c r="N67" s="405">
        <f>VLOOKUP('Emissions Per VMT'!$I67, 'Environmental Factors2'!$B$21:$F$34, 'Environmental Factors2'!E$4, FALSE)*'Environmental Factors2'!E65</f>
        <v>6.4497728169376975E-3</v>
      </c>
      <c r="O67" s="405">
        <f>VLOOKUP('Emissions Per VMT'!$I67, 'Environmental Factors2'!$B$21:$F$34, 'Environmental Factors2'!F$4, FALSE)*'Environmental Factors2'!F65</f>
        <v>3.7417960343428345E-3</v>
      </c>
    </row>
    <row r="68" spans="1:15">
      <c r="A68" s="415">
        <f>ROUND('TDM Data'!$K$19*((1+'TDM Data'!$L$24)^(B33-2025)),0)</f>
        <v>28</v>
      </c>
      <c r="B68" s="327">
        <v>2053</v>
      </c>
      <c r="C68" s="416">
        <f>'VMT to VOC Savings'!C35</f>
        <v>1097959060.8644176</v>
      </c>
      <c r="D68" s="405">
        <f>VLOOKUP('Emissions Per VMT'!$A68, 'Environmental Factors2'!$B$21:$F$349, 'Environmental Factors2'!C$4, FALSE)*'Environmental Factors2'!C66</f>
        <v>678.34477075186715</v>
      </c>
      <c r="E68" s="405">
        <f>VLOOKUP('Emissions Per VMT'!$A68, 'Environmental Factors2'!$B$21:$F$349, 'Environmental Factors2'!D$4, FALSE)*'Environmental Factors2'!D66</f>
        <v>0.25518526759239651</v>
      </c>
      <c r="F68" s="405">
        <f>VLOOKUP('Emissions Per VMT'!$A68, 'Environmental Factors2'!$B$21:$F$349, 'Environmental Factors2'!E$4, FALSE)*'Environmental Factors2'!E66</f>
        <v>6.3734800182274664E-3</v>
      </c>
      <c r="G68" s="405">
        <f>VLOOKUP('Emissions Per VMT'!$A68, 'Environmental Factors2'!$B$21:$F$349, 'Environmental Factors2'!F$4, FALSE)*'Environmental Factors2'!F66</f>
        <v>3.5517822541567762E-3</v>
      </c>
      <c r="H68" s="245"/>
      <c r="I68" s="415">
        <f>ROUND('TDM Data'!$K$6*((1+'TDM Data'!$L$11)^(B33-2025)),0)</f>
        <v>28</v>
      </c>
      <c r="J68" s="327">
        <v>2053</v>
      </c>
      <c r="K68" s="416">
        <f>'VMT to VOC Savings'!G35</f>
        <v>1102237131.6840658</v>
      </c>
      <c r="L68" s="405">
        <f>VLOOKUP('Emissions Per VMT'!$I68, 'Environmental Factors2'!$B$21:$F$34, 'Environmental Factors2'!C$4, FALSE)*'Environmental Factors2'!C66</f>
        <v>678.34477075186715</v>
      </c>
      <c r="M68" s="405">
        <f>VLOOKUP('Emissions Per VMT'!$I68, 'Environmental Factors2'!$B$21:$F$34, 'Environmental Factors2'!D$4, FALSE)*'Environmental Factors2'!D66</f>
        <v>0.25518526759239651</v>
      </c>
      <c r="N68" s="405">
        <f>VLOOKUP('Emissions Per VMT'!$I68, 'Environmental Factors2'!$B$21:$F$34, 'Environmental Factors2'!E$4, FALSE)*'Environmental Factors2'!E66</f>
        <v>6.3734800182274664E-3</v>
      </c>
      <c r="O68" s="405">
        <f>VLOOKUP('Emissions Per VMT'!$I68, 'Environmental Factors2'!$B$21:$F$34, 'Environmental Factors2'!F$4, FALSE)*'Environmental Factors2'!F66</f>
        <v>3.5517822541567762E-3</v>
      </c>
    </row>
    <row r="69" spans="1:15">
      <c r="A69" s="415">
        <f>ROUND('TDM Data'!$K$19*((1+'TDM Data'!$L$24)^(B34-2025)),0)</f>
        <v>28</v>
      </c>
      <c r="B69" s="327">
        <v>2054</v>
      </c>
      <c r="C69" s="416">
        <f>'VMT to VOC Savings'!C36</f>
        <v>1097959060.8644176</v>
      </c>
      <c r="D69" s="405">
        <f>VLOOKUP('Emissions Per VMT'!$A69, 'Environmental Factors2'!$B$21:$F$349, 'Environmental Factors2'!C$4, FALSE)*'Environmental Factors2'!C67</f>
        <v>670.38653634110528</v>
      </c>
      <c r="E69" s="405">
        <f>VLOOKUP('Emissions Per VMT'!$A69, 'Environmental Factors2'!$B$21:$F$349, 'Environmental Factors2'!D$4, FALSE)*'Environmental Factors2'!D67</f>
        <v>0.24128664482796419</v>
      </c>
      <c r="F69" s="405">
        <f>VLOOKUP('Emissions Per VMT'!$A69, 'Environmental Factors2'!$B$21:$F$349, 'Environmental Factors2'!E$4, FALSE)*'Environmental Factors2'!E67</f>
        <v>6.2980896685336969E-3</v>
      </c>
      <c r="G69" s="405">
        <f>VLOOKUP('Emissions Per VMT'!$A69, 'Environmental Factors2'!$B$21:$F$349, 'Environmental Factors2'!F$4, FALSE)*'Environmental Factors2'!F67</f>
        <v>3.3714176468088992E-3</v>
      </c>
      <c r="H69" s="245"/>
      <c r="I69" s="415">
        <f>ROUND('TDM Data'!$K$6*((1+'TDM Data'!$L$11)^(B34-2025)),0)</f>
        <v>28</v>
      </c>
      <c r="J69" s="327">
        <v>2054</v>
      </c>
      <c r="K69" s="416">
        <f>'VMT to VOC Savings'!G36</f>
        <v>1102237131.6840658</v>
      </c>
      <c r="L69" s="405">
        <f>VLOOKUP('Emissions Per VMT'!$I69, 'Environmental Factors2'!$B$21:$F$34, 'Environmental Factors2'!C$4, FALSE)*'Environmental Factors2'!C67</f>
        <v>670.38653634110528</v>
      </c>
      <c r="M69" s="405">
        <f>VLOOKUP('Emissions Per VMT'!$I69, 'Environmental Factors2'!$B$21:$F$34, 'Environmental Factors2'!D$4, FALSE)*'Environmental Factors2'!D67</f>
        <v>0.24128664482796419</v>
      </c>
      <c r="N69" s="405">
        <f>VLOOKUP('Emissions Per VMT'!$I69, 'Environmental Factors2'!$B$21:$F$34, 'Environmental Factors2'!E$4, FALSE)*'Environmental Factors2'!E67</f>
        <v>6.2980896685336969E-3</v>
      </c>
      <c r="O69" s="405">
        <f>VLOOKUP('Emissions Per VMT'!$I69, 'Environmental Factors2'!$B$21:$F$34, 'Environmental Factors2'!F$4, FALSE)*'Environmental Factors2'!F67</f>
        <v>3.3714176468088992E-3</v>
      </c>
    </row>
  </sheetData>
  <mergeCells count="4">
    <mergeCell ref="D3:G3"/>
    <mergeCell ref="L3:O3"/>
    <mergeCell ref="D38:G38"/>
    <mergeCell ref="L38:O3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4"/>
  <sheetViews>
    <sheetView workbookViewId="0">
      <selection activeCell="E42" sqref="E42"/>
    </sheetView>
  </sheetViews>
  <sheetFormatPr defaultRowHeight="14.4"/>
  <cols>
    <col min="2" max="2" width="15.33203125" bestFit="1" customWidth="1"/>
    <col min="3" max="3" width="21" style="25" bestFit="1" customWidth="1"/>
    <col min="4" max="4" width="16.33203125" style="25" bestFit="1" customWidth="1"/>
    <col min="5" max="5" width="15.33203125" style="25" bestFit="1" customWidth="1"/>
    <col min="6" max="6" width="13.6640625" style="25" bestFit="1" customWidth="1"/>
    <col min="9" max="9" width="15.33203125" bestFit="1" customWidth="1"/>
    <col min="10" max="10" width="18" bestFit="1" customWidth="1"/>
    <col min="11" max="11" width="14.109375" customWidth="1"/>
    <col min="12" max="13" width="11.5546875" bestFit="1" customWidth="1"/>
  </cols>
  <sheetData>
    <row r="1" spans="1:16" s="182" customFormat="1" ht="22.8">
      <c r="A1" s="271" t="str">
        <f>'Title Sheet'!$A$2</f>
        <v>Benefit-Cost Analysis Spreadsheet for the Illinois International Port - Calumet Bridges Rehabilitation Project</v>
      </c>
      <c r="B1" s="185"/>
    </row>
    <row r="2" spans="1:16" s="182" customFormat="1" ht="18">
      <c r="A2" s="168" t="s">
        <v>161</v>
      </c>
      <c r="B2" s="185"/>
    </row>
    <row r="3" spans="1:16" s="245" customFormat="1">
      <c r="A3" s="413" t="s">
        <v>3</v>
      </c>
      <c r="B3" s="410" t="s">
        <v>20</v>
      </c>
      <c r="C3" s="415"/>
      <c r="D3" s="422" t="s">
        <v>32</v>
      </c>
      <c r="E3" s="415"/>
      <c r="F3" s="415"/>
      <c r="H3" s="414" t="s">
        <v>2</v>
      </c>
      <c r="I3" s="410" t="s">
        <v>21</v>
      </c>
      <c r="J3" s="327"/>
      <c r="K3" s="422" t="s">
        <v>32</v>
      </c>
      <c r="L3" s="327"/>
      <c r="M3" s="327"/>
    </row>
    <row r="4" spans="1:16" s="245" customFormat="1" ht="15.6">
      <c r="A4" s="327" t="s">
        <v>1</v>
      </c>
      <c r="B4" s="327" t="s">
        <v>161</v>
      </c>
      <c r="C4" s="423" t="s">
        <v>27</v>
      </c>
      <c r="D4" s="423" t="s">
        <v>28</v>
      </c>
      <c r="E4" s="423" t="s">
        <v>29</v>
      </c>
      <c r="F4" s="423" t="s">
        <v>30</v>
      </c>
      <c r="H4" s="327" t="s">
        <v>1</v>
      </c>
      <c r="I4" s="327" t="s">
        <v>161</v>
      </c>
      <c r="J4" s="401" t="s">
        <v>27</v>
      </c>
      <c r="K4" s="401" t="s">
        <v>28</v>
      </c>
      <c r="L4" s="401" t="s">
        <v>29</v>
      </c>
      <c r="M4" s="401" t="s">
        <v>30</v>
      </c>
    </row>
    <row r="5" spans="1:16" s="245" customFormat="1">
      <c r="A5" s="327">
        <v>2025</v>
      </c>
      <c r="B5" s="416">
        <f>'VMT to VOC Savings'!B7</f>
        <v>10574781792</v>
      </c>
      <c r="C5" s="416">
        <f>$B5*'Emissions Per VMT'!D5</f>
        <v>3276671755461.1875</v>
      </c>
      <c r="D5" s="416">
        <f>$B5*'Emissions Per VMT'!E5</f>
        <v>688919254.48907673</v>
      </c>
      <c r="E5" s="416">
        <f>$B5*'Emissions Per VMT'!F5</f>
        <v>32394055.313304216</v>
      </c>
      <c r="F5" s="416">
        <f>$B5*'Emissions Per VMT'!G5</f>
        <v>15056668.76241249</v>
      </c>
      <c r="H5" s="327">
        <v>2025</v>
      </c>
      <c r="I5" s="424">
        <f>'VMT to VOC Savings'!F7</f>
        <v>10551621000</v>
      </c>
      <c r="J5" s="416">
        <f>$I5*'Emissions Per VMT'!L5</f>
        <v>3269495218443.854</v>
      </c>
      <c r="K5" s="416">
        <f>$I5*'Emissions Per VMT'!M5</f>
        <v>687410389.73216164</v>
      </c>
      <c r="L5" s="416">
        <f>$I5*'Emissions Per VMT'!N5</f>
        <v>32323106.144621082</v>
      </c>
      <c r="M5" s="416">
        <f>$I5*'Emissions Per VMT'!O5</f>
        <v>15023691.7818678</v>
      </c>
    </row>
    <row r="6" spans="1:16" s="182" customFormat="1">
      <c r="A6" s="138">
        <v>2026</v>
      </c>
      <c r="B6" s="411">
        <f>'VMT to VOC Savings'!B8</f>
        <v>10608092407.030188</v>
      </c>
      <c r="C6" s="411">
        <f>$B6*'Emissions Per VMT'!D6</f>
        <v>3248430798236.4385</v>
      </c>
      <c r="D6" s="411">
        <f>$B6*'Emissions Per VMT'!E6</f>
        <v>653449287.91734147</v>
      </c>
      <c r="E6" s="411">
        <f>$B6*'Emissions Per VMT'!F6</f>
        <v>32111708.299238246</v>
      </c>
      <c r="F6" s="411">
        <f>$B6*'Emissions Per VMT'!G6</f>
        <v>14337089.573478967</v>
      </c>
      <c r="H6" s="138">
        <v>2026</v>
      </c>
      <c r="I6" s="363">
        <f>'VMT to VOC Savings'!F8</f>
        <v>10584028532.383698</v>
      </c>
      <c r="J6" s="411">
        <f>$I6*'Emissions Per VMT'!L6</f>
        <v>3241061911491.5649</v>
      </c>
      <c r="K6" s="411">
        <f>$I6*'Emissions Per VMT'!M6</f>
        <v>651966974.11869287</v>
      </c>
      <c r="L6" s="411">
        <f>$I6*'Emissions Per VMT'!N6</f>
        <v>32038864.653694075</v>
      </c>
      <c r="M6" s="411">
        <f>$I6*'Emissions Per VMT'!O6</f>
        <v>14304566.673691344</v>
      </c>
    </row>
    <row r="7" spans="1:16" s="182" customFormat="1">
      <c r="A7" s="138">
        <v>2027</v>
      </c>
      <c r="B7" s="411">
        <f>'VMT to VOC Savings'!B9</f>
        <v>10641507950.662735</v>
      </c>
      <c r="C7" s="411">
        <f>$B7*'Emissions Per VMT'!D7</f>
        <v>3220433243990.2271</v>
      </c>
      <c r="D7" s="411">
        <f>$B7*'Emissions Per VMT'!E7</f>
        <v>619805541.9373548</v>
      </c>
      <c r="E7" s="411">
        <f>$B7*'Emissions Per VMT'!F7</f>
        <v>31831822.225476947</v>
      </c>
      <c r="F7" s="411">
        <f>$B7*'Emissions Per VMT'!G7</f>
        <v>13651900.077067528</v>
      </c>
      <c r="H7" s="138">
        <v>2027</v>
      </c>
      <c r="I7" s="363">
        <f>'VMT to VOC Savings'!F9</f>
        <v>10616535599.062193</v>
      </c>
      <c r="J7" s="411">
        <f>$I7*'Emissions Per VMT'!L7</f>
        <v>3212875876026.2261</v>
      </c>
      <c r="K7" s="411">
        <f>$I7*'Emissions Per VMT'!M7</f>
        <v>618351048.64664972</v>
      </c>
      <c r="L7" s="411">
        <f>$I7*'Emissions Per VMT'!N7</f>
        <v>31757122.712927971</v>
      </c>
      <c r="M7" s="411">
        <f>$I7*'Emissions Per VMT'!O7</f>
        <v>13619863.259511162</v>
      </c>
    </row>
    <row r="8" spans="1:16" s="182" customFormat="1">
      <c r="A8" s="138">
        <v>2028</v>
      </c>
      <c r="B8" s="411">
        <f>'VMT to VOC Savings'!B10</f>
        <v>10675028753.423258</v>
      </c>
      <c r="C8" s="411">
        <f>$B8*'Emissions Per VMT'!D8</f>
        <v>3192676994882.5435</v>
      </c>
      <c r="D8" s="411">
        <f>$B8*'Emissions Per VMT'!E8</f>
        <v>587893991.04043782</v>
      </c>
      <c r="E8" s="411">
        <f>$B8*'Emissions Per VMT'!F8</f>
        <v>31554375.642432097</v>
      </c>
      <c r="F8" s="411">
        <f>$B8*'Emissions Per VMT'!G8</f>
        <v>12999456.741833808</v>
      </c>
      <c r="H8" s="138">
        <v>2028</v>
      </c>
      <c r="I8" s="363">
        <f>'VMT to VOC Savings'!F10</f>
        <v>10649142505.738359</v>
      </c>
      <c r="J8" s="411">
        <f>$I8*'Emissions Per VMT'!L8</f>
        <v>3184934961640.6279</v>
      </c>
      <c r="K8" s="411">
        <f>$I8*'Emissions Per VMT'!M8</f>
        <v>586468386.4995923</v>
      </c>
      <c r="L8" s="411">
        <f>$I8*'Emissions Per VMT'!N8</f>
        <v>31477858.341889895</v>
      </c>
      <c r="M8" s="411">
        <f>$I8*'Emissions Per VMT'!O8</f>
        <v>12967933.908054058</v>
      </c>
    </row>
    <row r="9" spans="1:16">
      <c r="A9" s="138">
        <v>2029</v>
      </c>
      <c r="B9" s="411">
        <f>'VMT to VOC Savings'!B11</f>
        <v>10708655146.878532</v>
      </c>
      <c r="C9" s="411">
        <f>$B9*'Emissions Per VMT'!D9</f>
        <v>3165159971154.23</v>
      </c>
      <c r="D9" s="411">
        <f>$B9*'Emissions Per VMT'!E9</f>
        <v>557625450.75207961</v>
      </c>
      <c r="E9" s="411">
        <f>$B9*'Emissions Per VMT'!F9</f>
        <v>31279347.287470393</v>
      </c>
      <c r="F9" s="411">
        <f>$B9*'Emissions Per VMT'!G9</f>
        <v>12378194.583087455</v>
      </c>
      <c r="H9" s="138">
        <v>2029</v>
      </c>
      <c r="I9" s="363">
        <f>'VMT to VOC Savings'!F11</f>
        <v>10681849559.053989</v>
      </c>
      <c r="J9" s="411">
        <f>$I9*'Emissions Per VMT'!L9</f>
        <v>3157237036628.6719</v>
      </c>
      <c r="K9" s="411">
        <f>$I9*'Emissions Per VMT'!M9</f>
        <v>556229619.26919794</v>
      </c>
      <c r="L9" s="411">
        <f>$I9*'Emissions Per VMT'!N9</f>
        <v>31201049.753437553</v>
      </c>
      <c r="M9" s="411">
        <f>$I9*'Emissions Per VMT'!O9</f>
        <v>12347209.853683507</v>
      </c>
      <c r="P9" s="182"/>
    </row>
    <row r="10" spans="1:16">
      <c r="A10" s="138">
        <v>2030</v>
      </c>
      <c r="B10" s="411">
        <f>'VMT to VOC Savings'!B12</f>
        <v>10742387463.639769</v>
      </c>
      <c r="C10" s="411">
        <f>$B10*'Emissions Per VMT'!D10</f>
        <v>3137880110971.1416</v>
      </c>
      <c r="D10" s="411">
        <f>$B10*'Emissions Per VMT'!E10</f>
        <v>528915328.38455516</v>
      </c>
      <c r="E10" s="411">
        <f>$B10*'Emissions Per VMT'!F10</f>
        <v>31006716.083283909</v>
      </c>
      <c r="F10" s="411">
        <f>$B10*'Emissions Per VMT'!G10</f>
        <v>11786623.408938026</v>
      </c>
      <c r="H10" s="138">
        <v>2030</v>
      </c>
      <c r="I10" s="363">
        <f>'VMT to VOC Savings'!F12</f>
        <v>10714657066.592672</v>
      </c>
      <c r="J10" s="411">
        <f>$I10*'Emissions Per VMT'!L10</f>
        <v>3129779987822.7319</v>
      </c>
      <c r="K10" s="411">
        <f>$I10*'Emissions Per VMT'!M10</f>
        <v>527549986.45195001</v>
      </c>
      <c r="L10" s="411">
        <f>$I10*'Emissions Per VMT'!N10</f>
        <v>30926675.352019437</v>
      </c>
      <c r="M10" s="411">
        <f>$I10*'Emissions Per VMT'!O10</f>
        <v>11756197.42141144</v>
      </c>
      <c r="P10" s="182"/>
    </row>
    <row r="11" spans="1:16">
      <c r="A11" s="138">
        <v>2031</v>
      </c>
      <c r="B11" s="411">
        <f>'VMT to VOC Savings'!B13</f>
        <v>10776226037.365906</v>
      </c>
      <c r="C11" s="411">
        <f>$B11*'Emissions Per VMT'!D11</f>
        <v>3110835370269.6563</v>
      </c>
      <c r="D11" s="411">
        <f>$B11*'Emissions Per VMT'!E11</f>
        <v>501683386.62239313</v>
      </c>
      <c r="E11" s="411">
        <f>$B11*'Emissions Per VMT'!F11</f>
        <v>30736461.136274822</v>
      </c>
      <c r="F11" s="411">
        <f>$B11*'Emissions Per VMT'!G11</f>
        <v>11223324.245842829</v>
      </c>
      <c r="H11" s="138">
        <v>2031</v>
      </c>
      <c r="I11" s="363">
        <f>'VMT to VOC Savings'!F13</f>
        <v>10747565336.882689</v>
      </c>
      <c r="J11" s="411">
        <f>$I11*'Emissions Per VMT'!L11</f>
        <v>3102561720432.436</v>
      </c>
      <c r="K11" s="411">
        <f>$I11*'Emissions Per VMT'!M11</f>
        <v>500349097.86197424</v>
      </c>
      <c r="L11" s="411">
        <f>$I11*'Emissions Per VMT'!N11</f>
        <v>30654713.731990032</v>
      </c>
      <c r="M11" s="411">
        <f>$I11*'Emissions Per VMT'!O11</f>
        <v>11193474.432603875</v>
      </c>
      <c r="P11" s="182"/>
    </row>
    <row r="12" spans="1:16">
      <c r="A12" s="138">
        <v>2032</v>
      </c>
      <c r="B12" s="411">
        <f>'VMT to VOC Savings'!B14</f>
        <v>10810171202.766911</v>
      </c>
      <c r="C12" s="411">
        <f>$B12*'Emissions Per VMT'!D12</f>
        <v>3084023722603.5146</v>
      </c>
      <c r="D12" s="411">
        <f>$B12*'Emissions Per VMT'!E12</f>
        <v>475853519.2799738</v>
      </c>
      <c r="E12" s="411">
        <f>$B12*'Emissions Per VMT'!F12</f>
        <v>30468561.734954186</v>
      </c>
      <c r="F12" s="411">
        <f>$B12*'Emissions Per VMT'!G12</f>
        <v>10686945.934982816</v>
      </c>
      <c r="H12" s="138">
        <v>2032</v>
      </c>
      <c r="I12" s="363">
        <f>'VMT to VOC Savings'!F14</f>
        <v>10780574679.399912</v>
      </c>
      <c r="J12" s="411">
        <f>$I12*'Emissions Per VMT'!L12</f>
        <v>3075580157884.8496</v>
      </c>
      <c r="K12" s="411">
        <f>$I12*'Emissions Per VMT'!M12</f>
        <v>474550708.29405403</v>
      </c>
      <c r="L12" s="411">
        <f>$I12*'Emissions Per VMT'!N12</f>
        <v>30385143.675939858</v>
      </c>
      <c r="M12" s="411">
        <f>$I12*'Emissions Per VMT'!O12</f>
        <v>10657686.782731313</v>
      </c>
    </row>
    <row r="13" spans="1:16">
      <c r="A13" s="138">
        <v>2033</v>
      </c>
      <c r="B13" s="411">
        <f>'VMT to VOC Savings'!B15</f>
        <v>10844223295.607086</v>
      </c>
      <c r="C13" s="411">
        <f>$B13*'Emissions Per VMT'!D13</f>
        <v>3057443158991.979</v>
      </c>
      <c r="D13" s="411">
        <f>$B13*'Emissions Per VMT'!E13</f>
        <v>451353538.60455948</v>
      </c>
      <c r="E13" s="411">
        <f>$B13*'Emissions Per VMT'!F13</f>
        <v>30202997.348354653</v>
      </c>
      <c r="F13" s="411">
        <f>$B13*'Emissions Per VMT'!G13</f>
        <v>10176201.891302386</v>
      </c>
      <c r="H13" s="138">
        <v>2033</v>
      </c>
      <c r="I13" s="363">
        <f>'VMT to VOC Savings'!F15</f>
        <v>10813685404.570719</v>
      </c>
      <c r="J13" s="411">
        <f>$I13*'Emissions Per VMT'!L13</f>
        <v>3048833241666.041</v>
      </c>
      <c r="K13" s="411">
        <f>$I13*'Emissions Per VMT'!M13</f>
        <v>450082503.80519599</v>
      </c>
      <c r="L13" s="411">
        <f>$I13*'Emissions Per VMT'!N13</f>
        <v>30117944.153040111</v>
      </c>
      <c r="M13" s="411">
        <f>$I13*'Emissions Per VMT'!O13</f>
        <v>10147545.182928763</v>
      </c>
    </row>
    <row r="14" spans="1:16">
      <c r="A14" s="138">
        <v>2034</v>
      </c>
      <c r="B14" s="411">
        <f>'VMT to VOC Savings'!B16</f>
        <v>10878382652.708395</v>
      </c>
      <c r="C14" s="411">
        <f>$B14*'Emissions Per VMT'!D14</f>
        <v>3031091687769.3008</v>
      </c>
      <c r="D14" s="411">
        <f>$B14*'Emissions Per VMT'!E14</f>
        <v>428114973.53032398</v>
      </c>
      <c r="E14" s="411">
        <f>$B14*'Emissions Per VMT'!F14</f>
        <v>29939747.624457069</v>
      </c>
      <c r="F14" s="411">
        <f>$B14*'Emissions Per VMT'!G14</f>
        <v>9689867.0174392331</v>
      </c>
      <c r="H14" s="138">
        <v>2034</v>
      </c>
      <c r="I14" s="363">
        <f>'VMT to VOC Savings'!F16</f>
        <v>10846897823.77491</v>
      </c>
      <c r="J14" s="411">
        <f>$I14*'Emissions Per VMT'!L14</f>
        <v>3022318931164.0381</v>
      </c>
      <c r="K14" s="411">
        <f>$I14*'Emissions Per VMT'!M14</f>
        <v>426875899.01568466</v>
      </c>
      <c r="L14" s="411">
        <f>$I14*'Emissions Per VMT'!N14</f>
        <v>29853094.317401994</v>
      </c>
      <c r="M14" s="411">
        <f>$I14*'Emissions Per VMT'!O14</f>
        <v>9661822.0575245041</v>
      </c>
    </row>
    <row r="15" spans="1:16">
      <c r="A15" s="138">
        <v>2035</v>
      </c>
      <c r="B15" s="411">
        <f>'VMT to VOC Savings'!B17</f>
        <v>10912649611.953793</v>
      </c>
      <c r="C15" s="411">
        <f>$B15*'Emissions Per VMT'!D15</f>
        <v>3048232047812.79</v>
      </c>
      <c r="D15" s="411">
        <f>$B15*'Emissions Per VMT'!E15</f>
        <v>410198437.31554502</v>
      </c>
      <c r="E15" s="411">
        <f>$B15*'Emissions Per VMT'!F15</f>
        <v>29678792.388630755</v>
      </c>
      <c r="F15" s="411">
        <f>$B15*'Emissions Per VMT'!G15</f>
        <v>9841893.0828178767</v>
      </c>
      <c r="H15" s="138">
        <v>2035</v>
      </c>
      <c r="I15" s="363">
        <f>'VMT to VOC Savings'!F17</f>
        <v>10880212249.348635</v>
      </c>
      <c r="J15" s="411">
        <f>$I15*'Emissions Per VMT'!L15</f>
        <v>3039171314466.1191</v>
      </c>
      <c r="K15" s="411">
        <f>$I15*'Emissions Per VMT'!M15</f>
        <v>408979140.81795579</v>
      </c>
      <c r="L15" s="411">
        <f>$I15*'Emissions Per VMT'!N15</f>
        <v>29590573.506450329</v>
      </c>
      <c r="M15" s="411">
        <f>$I15*'Emissions Per VMT'!O15</f>
        <v>9812638.4960767385</v>
      </c>
    </row>
    <row r="16" spans="1:16">
      <c r="A16" s="138">
        <v>2036</v>
      </c>
      <c r="B16" s="411">
        <f>'VMT to VOC Savings'!B18</f>
        <v>10947024512.290565</v>
      </c>
      <c r="C16" s="411">
        <f>$B16*'Emissions Per VMT'!D16</f>
        <v>3021959965255.2642</v>
      </c>
      <c r="D16" s="411">
        <f>$B16*'Emissions Per VMT'!E16</f>
        <v>389078799.90585911</v>
      </c>
      <c r="E16" s="411">
        <f>$B16*'Emissions Per VMT'!F16</f>
        <v>29420111.642087355</v>
      </c>
      <c r="F16" s="411">
        <f>$B16*'Emissions Per VMT'!G16</f>
        <v>9371535.2929338291</v>
      </c>
      <c r="H16" s="138">
        <v>2036</v>
      </c>
      <c r="I16" s="363">
        <f>'VMT to VOC Savings'!F18</f>
        <v>10913628994.58733</v>
      </c>
      <c r="J16" s="411">
        <f>$I16*'Emissions Per VMT'!L16</f>
        <v>3012741029333.0103</v>
      </c>
      <c r="K16" s="411">
        <f>$I16*'Emissions Per VMT'!M16</f>
        <v>387891857.4690699</v>
      </c>
      <c r="L16" s="411">
        <f>$I16*'Emissions Per VMT'!N16</f>
        <v>29330361.239311568</v>
      </c>
      <c r="M16" s="411">
        <f>$I16*'Emissions Per VMT'!O16</f>
        <v>9342946.0381614212</v>
      </c>
    </row>
    <row r="17" spans="1:13">
      <c r="A17" s="138">
        <v>2037</v>
      </c>
      <c r="B17" s="411">
        <f>'VMT to VOC Savings'!B19</f>
        <v>10981507693.733685</v>
      </c>
      <c r="C17" s="411">
        <f>$B17*'Emissions Per VMT'!D17</f>
        <v>2995914316352.0928</v>
      </c>
      <c r="D17" s="411">
        <f>$B17*'Emissions Per VMT'!E17</f>
        <v>369046536.41996396</v>
      </c>
      <c r="E17" s="411">
        <f>$B17*'Emissions Per VMT'!F17</f>
        <v>29163685.560348239</v>
      </c>
      <c r="F17" s="411">
        <f>$B17*'Emissions Per VMT'!G17</f>
        <v>8923656.557500273</v>
      </c>
      <c r="H17" s="138">
        <v>2037</v>
      </c>
      <c r="I17" s="363">
        <f>'VMT to VOC Savings'!F19</f>
        <v>10947148373.748669</v>
      </c>
      <c r="J17" s="411">
        <f>$I17*'Emissions Per VMT'!L17</f>
        <v>2986540596320.7378</v>
      </c>
      <c r="K17" s="411">
        <f>$I17*'Emissions Per VMT'!M17</f>
        <v>367891850.88972014</v>
      </c>
      <c r="L17" s="411">
        <f>$I17*'Emissions Per VMT'!N17</f>
        <v>29072437.215215977</v>
      </c>
      <c r="M17" s="411">
        <f>$I17*'Emissions Per VMT'!O17</f>
        <v>8895735.9131182171</v>
      </c>
    </row>
    <row r="18" spans="1:13">
      <c r="A18" s="138">
        <v>2038</v>
      </c>
      <c r="B18" s="411">
        <f>'VMT to VOC Savings'!B20</f>
        <v>11016099497.369173</v>
      </c>
      <c r="C18" s="411">
        <f>$B18*'Emissions Per VMT'!D18</f>
        <v>2970093149518.3691</v>
      </c>
      <c r="D18" s="411">
        <f>$B18*'Emissions Per VMT'!E18</f>
        <v>350045661.89811766</v>
      </c>
      <c r="E18" s="411">
        <f>$B18*'Emissions Per VMT'!F18</f>
        <v>28909494.491725188</v>
      </c>
      <c r="F18" s="411">
        <f>$B18*'Emissions Per VMT'!G18</f>
        <v>8497182.5711695459</v>
      </c>
      <c r="H18" s="138">
        <v>2038</v>
      </c>
      <c r="I18" s="363">
        <f>'VMT to VOC Savings'!F20</f>
        <v>10980770702.055513</v>
      </c>
      <c r="J18" s="411">
        <f>$I18*'Emissions Per VMT'!L18</f>
        <v>2960568016510.3662</v>
      </c>
      <c r="K18" s="411">
        <f>$I18*'Emissions Per VMT'!M18</f>
        <v>348923060.24200636</v>
      </c>
      <c r="L18" s="411">
        <f>$I18*'Emissions Per VMT'!N18</f>
        <v>28816781.311913818</v>
      </c>
      <c r="M18" s="411">
        <f>$I18*'Emissions Per VMT'!O18</f>
        <v>8469931.9799896702</v>
      </c>
    </row>
    <row r="19" spans="1:13">
      <c r="A19" s="138">
        <v>2039</v>
      </c>
      <c r="B19" s="411">
        <f>'VMT to VOC Savings'!B21</f>
        <v>11050800265.357473</v>
      </c>
      <c r="C19" s="411">
        <f>$B19*'Emissions Per VMT'!D19</f>
        <v>2944494529989.4917</v>
      </c>
      <c r="D19" s="411">
        <f>$B19*'Emissions Per VMT'!E19</f>
        <v>332023073.84414411</v>
      </c>
      <c r="E19" s="411">
        <f>$B19*'Emissions Per VMT'!F19</f>
        <v>28657518.95581435</v>
      </c>
      <c r="F19" s="411">
        <f>$B19*'Emissions Per VMT'!G19</f>
        <v>8091090.3711441169</v>
      </c>
      <c r="H19" s="138">
        <v>2039</v>
      </c>
      <c r="I19" s="363">
        <f>'VMT to VOC Savings'!F21</f>
        <v>11014496295.698881</v>
      </c>
      <c r="J19" s="411">
        <f>$I19*'Emissions Per VMT'!L19</f>
        <v>2934821308366.6436</v>
      </c>
      <c r="K19" s="411">
        <f>$I19*'Emissions Per VMT'!M19</f>
        <v>330932315.22853714</v>
      </c>
      <c r="L19" s="411">
        <f>$I19*'Emissions Per VMT'!N19</f>
        <v>28563373.584105492</v>
      </c>
      <c r="M19" s="411">
        <f>$I19*'Emissions Per VMT'!O19</f>
        <v>8064509.6084585609</v>
      </c>
    </row>
    <row r="20" spans="1:13">
      <c r="A20" s="138">
        <v>2040</v>
      </c>
      <c r="B20" s="411">
        <f>'VMT to VOC Savings'!B22</f>
        <v>11085610340.936838</v>
      </c>
      <c r="C20" s="411">
        <f>$B20*'Emissions Per VMT'!D20</f>
        <v>2919116539676.1958</v>
      </c>
      <c r="D20" s="411">
        <f>$B20*'Emissions Per VMT'!E20</f>
        <v>314928403.81778425</v>
      </c>
      <c r="E20" s="411">
        <f>$B20*'Emissions Per VMT'!F20</f>
        <v>28407739.642003339</v>
      </c>
      <c r="F20" s="411">
        <f>$B20*'Emissions Per VMT'!G20</f>
        <v>7704405.8834445374</v>
      </c>
      <c r="H20" s="138">
        <v>2040</v>
      </c>
      <c r="I20" s="363">
        <f>'VMT to VOC Savings'!F22</f>
        <v>11048325471.840914</v>
      </c>
      <c r="J20" s="411">
        <f>$I20*'Emissions Per VMT'!L20</f>
        <v>2909298507586.8252</v>
      </c>
      <c r="K20" s="411">
        <f>$I20*'Emissions Per VMT'!M20</f>
        <v>313869187.05390668</v>
      </c>
      <c r="L20" s="411">
        <f>$I20*'Emissions Per VMT'!N20</f>
        <v>28312194.261885487</v>
      </c>
      <c r="M20" s="411">
        <f>$I20*'Emissions Per VMT'!O20</f>
        <v>7678493.2132359045</v>
      </c>
    </row>
    <row r="21" spans="1:13">
      <c r="A21" s="138">
        <v>2041</v>
      </c>
      <c r="B21" s="411">
        <f>'VMT to VOC Savings'!B23</f>
        <v>11120530068.42672</v>
      </c>
      <c r="C21" s="411">
        <f>$B21*'Emissions Per VMT'!D21</f>
        <v>2893957277020.834</v>
      </c>
      <c r="D21" s="411">
        <f>$B21*'Emissions Per VMT'!E21</f>
        <v>298713876.66802245</v>
      </c>
      <c r="E21" s="411">
        <f>$B21*'Emissions Per VMT'!F21</f>
        <v>28160137.40799132</v>
      </c>
      <c r="F21" s="411">
        <f>$B21*'Emissions Per VMT'!G21</f>
        <v>7336201.586444688</v>
      </c>
      <c r="H21" s="138">
        <v>2041</v>
      </c>
      <c r="I21" s="363">
        <f>'VMT to VOC Savings'!F23</f>
        <v>11082258548.617867</v>
      </c>
      <c r="J21" s="411">
        <f>$I21*'Emissions Per VMT'!L21</f>
        <v>2883997666950.8125</v>
      </c>
      <c r="K21" s="411">
        <f>$I21*'Emissions Per VMT'!M21</f>
        <v>297685847.07071596</v>
      </c>
      <c r="L21" s="411">
        <f>$I21*'Emissions Per VMT'!N21</f>
        <v>28063223.749200016</v>
      </c>
      <c r="M21" s="411">
        <f>$I21*'Emissions Per VMT'!O21</f>
        <v>7310953.9064681269</v>
      </c>
    </row>
    <row r="22" spans="1:13">
      <c r="A22" s="138">
        <v>2042</v>
      </c>
      <c r="B22" s="411">
        <f>'VMT to VOC Savings'!B24</f>
        <v>11155559793.23118</v>
      </c>
      <c r="C22" s="411">
        <f>$B22*'Emissions Per VMT'!D22</f>
        <v>2869014856854.8887</v>
      </c>
      <c r="D22" s="411">
        <f>$B22*'Emissions Per VMT'!E22</f>
        <v>283334177.01398093</v>
      </c>
      <c r="E22" s="411">
        <f>$B22*'Emissions Per VMT'!F22</f>
        <v>27914693.278322004</v>
      </c>
      <c r="F22" s="411">
        <f>$B22*'Emissions Per VMT'!G22</f>
        <v>6985594.2860699091</v>
      </c>
      <c r="H22" s="138">
        <v>2042</v>
      </c>
      <c r="I22" s="363">
        <f>'VMT to VOC Savings'!F24</f>
        <v>11116295845.143097</v>
      </c>
      <c r="J22" s="411">
        <f>$I22*'Emissions Per VMT'!L22</f>
        <v>2858916856172.5884</v>
      </c>
      <c r="K22" s="411">
        <f>$I22*'Emissions Per VMT'!M22</f>
        <v>282336932.71391386</v>
      </c>
      <c r="L22" s="411">
        <f>$I22*'Emissions Per VMT'!N22</f>
        <v>27816442.622318182</v>
      </c>
      <c r="M22" s="411">
        <f>$I22*'Emissions Per VMT'!O22</f>
        <v>6961007.2625142569</v>
      </c>
    </row>
    <row r="23" spans="1:13">
      <c r="A23" s="138">
        <v>2043</v>
      </c>
      <c r="B23" s="411">
        <f>'VMT to VOC Savings'!B25</f>
        <v>11190699861.842306</v>
      </c>
      <c r="C23" s="411">
        <f>$B23*'Emissions Per VMT'!D23</f>
        <v>2844287410257.7227</v>
      </c>
      <c r="D23" s="411">
        <f>$B23*'Emissions Per VMT'!E23</f>
        <v>268746322.60023063</v>
      </c>
      <c r="E23" s="411">
        <f>$B23*'Emissions Per VMT'!F23</f>
        <v>27671388.442929428</v>
      </c>
      <c r="F23" s="411">
        <f>$B23*'Emissions Per VMT'!G23</f>
        <v>6651742.9973215321</v>
      </c>
      <c r="H23" s="138">
        <v>2043</v>
      </c>
      <c r="I23" s="363">
        <f>'VMT to VOC Savings'!F25</f>
        <v>11150437681.510063</v>
      </c>
      <c r="J23" s="411">
        <f>$I23*'Emissions Per VMT'!L23</f>
        <v>2834054161752.9526</v>
      </c>
      <c r="K23" s="411">
        <f>$I23*'Emissions Per VMT'!M23</f>
        <v>267779420.34766889</v>
      </c>
      <c r="L23" s="411">
        <f>$I23*'Emissions Per VMT'!N23</f>
        <v>27571831.628316641</v>
      </c>
      <c r="M23" s="411">
        <f>$I23*'Emissions Per VMT'!O23</f>
        <v>6627811.1897144783</v>
      </c>
    </row>
    <row r="24" spans="1:13">
      <c r="A24" s="138">
        <v>2044</v>
      </c>
      <c r="B24" s="411">
        <f>'VMT to VOC Savings'!B26</f>
        <v>11225950621.843634</v>
      </c>
      <c r="C24" s="411">
        <f>$B24*'Emissions Per VMT'!D24</f>
        <v>2819773084416.5381</v>
      </c>
      <c r="D24" s="411">
        <f>$B24*'Emissions Per VMT'!E24</f>
        <v>254909544.17258096</v>
      </c>
      <c r="E24" s="411">
        <f>$B24*'Emissions Per VMT'!F24</f>
        <v>27430204.255696408</v>
      </c>
      <c r="F24" s="411">
        <f>$B24*'Emissions Per VMT'!G24</f>
        <v>6333846.9270462934</v>
      </c>
      <c r="H24" s="138">
        <v>2044</v>
      </c>
      <c r="I24" s="363">
        <f>'VMT to VOC Savings'!F26</f>
        <v>11184684378.795338</v>
      </c>
      <c r="J24" s="411">
        <f>$I24*'Emissions Per VMT'!L24</f>
        <v>2809407686833.5347</v>
      </c>
      <c r="K24" s="411">
        <f>$I24*'Emissions Per VMT'!M24</f>
        <v>253972504.66835511</v>
      </c>
      <c r="L24" s="411">
        <f>$I24*'Emissions Per VMT'!N24</f>
        <v>27329371.683577534</v>
      </c>
      <c r="M24" s="411">
        <f>$I24*'Emissions Per VMT'!O24</f>
        <v>6310563.9040287491</v>
      </c>
    </row>
    <row r="25" spans="1:13">
      <c r="A25" s="138">
        <v>2045</v>
      </c>
      <c r="B25" s="411">
        <f>'VMT to VOC Savings'!B27</f>
        <v>11261312421.913591</v>
      </c>
      <c r="C25" s="411">
        <f>$B25*'Emissions Per VMT'!D25</f>
        <v>2795470042487.5493</v>
      </c>
      <c r="D25" s="411">
        <f>$B25*'Emissions Per VMT'!E25</f>
        <v>241785171.53863087</v>
      </c>
      <c r="E25" s="411">
        <f>$B25*'Emissions Per VMT'!F25</f>
        <v>27191122.233025581</v>
      </c>
      <c r="F25" s="411">
        <f>$B25*'Emissions Per VMT'!G25</f>
        <v>6031143.5531120189</v>
      </c>
      <c r="H25" s="138">
        <v>2045</v>
      </c>
      <c r="I25" s="363">
        <f>'VMT to VOC Savings'!F27</f>
        <v>11219036259.061625</v>
      </c>
      <c r="J25" s="411">
        <f>$I25*'Emissions Per VMT'!L25</f>
        <v>2784975551052.0728</v>
      </c>
      <c r="K25" s="411">
        <f>$I25*'Emissions Per VMT'!M25</f>
        <v>240877484.32561409</v>
      </c>
      <c r="L25" s="411">
        <f>$I25*'Emissions Per VMT'!N25</f>
        <v>27089043.872299686</v>
      </c>
      <c r="M25" s="411">
        <f>$I25*'Emissions Per VMT'!O25</f>
        <v>6008501.9996693851</v>
      </c>
    </row>
    <row r="26" spans="1:13">
      <c r="A26" s="138">
        <v>2046</v>
      </c>
      <c r="B26" s="411">
        <f>'VMT to VOC Savings'!B28</f>
        <v>11296785611.828943</v>
      </c>
      <c r="C26" s="411">
        <f>$B26*'Emissions Per VMT'!D26</f>
        <v>2771376463458.3467</v>
      </c>
      <c r="D26" s="411">
        <f>$B26*'Emissions Per VMT'!E26</f>
        <v>229336525.49465168</v>
      </c>
      <c r="E26" s="411">
        <f>$B26*'Emissions Per VMT'!F26</f>
        <v>26954124.052422844</v>
      </c>
      <c r="F26" s="411">
        <f>$B26*'Emissions Per VMT'!G26</f>
        <v>5742906.7953821756</v>
      </c>
      <c r="H26" s="138">
        <v>2046</v>
      </c>
      <c r="I26" s="363">
        <f>'VMT to VOC Savings'!F28</f>
        <v>11253493645.360792</v>
      </c>
      <c r="J26" s="411">
        <f>$I26*'Emissions Per VMT'!L26</f>
        <v>2760755890398.96</v>
      </c>
      <c r="K26" s="411">
        <f>$I26*'Emissions Per VMT'!M26</f>
        <v>228457653.44088438</v>
      </c>
      <c r="L26" s="411">
        <f>$I26*'Emissions Per VMT'!N26</f>
        <v>26850829.44502284</v>
      </c>
      <c r="M26" s="411">
        <f>$I26*'Emissions Per VMT'!O26</f>
        <v>5720898.6120848777</v>
      </c>
    </row>
    <row r="27" spans="1:13">
      <c r="A27" s="138">
        <v>2047</v>
      </c>
      <c r="B27" s="411">
        <f>'VMT to VOC Savings'!B29</f>
        <v>11332370542.468256</v>
      </c>
      <c r="C27" s="411">
        <f>$B27*'Emissions Per VMT'!D27</f>
        <v>2747490542011.4517</v>
      </c>
      <c r="D27" s="411">
        <f>$B27*'Emissions Per VMT'!E27</f>
        <v>217528815.31676435</v>
      </c>
      <c r="E27" s="411">
        <f>$B27*'Emissions Per VMT'!F27</f>
        <v>26719191.55109321</v>
      </c>
      <c r="F27" s="411">
        <f>$B27*'Emissions Per VMT'!G27</f>
        <v>5468445.2741020992</v>
      </c>
      <c r="H27" s="138">
        <v>2047</v>
      </c>
      <c r="I27" s="363">
        <f>'VMT to VOC Savings'!F29</f>
        <v>11288056861.736908</v>
      </c>
      <c r="J27" s="411">
        <f>$I27*'Emissions Per VMT'!L27</f>
        <v>2736746857075.0273</v>
      </c>
      <c r="K27" s="411">
        <f>$I27*'Emissions Per VMT'!M27</f>
        <v>216678198.71931976</v>
      </c>
      <c r="L27" s="411">
        <f>$I27*'Emissions Per VMT'!N27</f>
        <v>26614709.817164924</v>
      </c>
      <c r="M27" s="411">
        <f>$I27*'Emissions Per VMT'!O27</f>
        <v>5447061.6688744649</v>
      </c>
    </row>
    <row r="28" spans="1:13">
      <c r="A28" s="138">
        <v>2048</v>
      </c>
      <c r="B28" s="411">
        <f>'VMT to VOC Savings'!B30</f>
        <v>11368067565.815363</v>
      </c>
      <c r="C28" s="411">
        <f>$B28*'Emissions Per VMT'!D28</f>
        <v>2763027230264.3896</v>
      </c>
      <c r="D28" s="411">
        <f>$B28*'Emissions Per VMT'!E28</f>
        <v>208404189.93611804</v>
      </c>
      <c r="E28" s="411">
        <f>$B28*'Emissions Per VMT'!F28</f>
        <v>27340703.71566331</v>
      </c>
      <c r="F28" s="411">
        <f>$B28*'Emissions Per VMT'!G28</f>
        <v>5532544.4422393376</v>
      </c>
      <c r="H28" s="138">
        <v>2048</v>
      </c>
      <c r="I28" s="363">
        <f>'VMT to VOC Savings'!F30</f>
        <v>11322726233.229284</v>
      </c>
      <c r="J28" s="411">
        <f>$I28*'Emissions Per VMT'!L28</f>
        <v>2752006945957.7993</v>
      </c>
      <c r="K28" s="411">
        <f>$I28*'Emissions Per VMT'!M28</f>
        <v>207572973.58087391</v>
      </c>
      <c r="L28" s="411">
        <f>$I28*'Emissions Per VMT'!N28</f>
        <v>27231655.811687343</v>
      </c>
      <c r="M28" s="411">
        <f>$I28*'Emissions Per VMT'!O28</f>
        <v>5510477.9884510813</v>
      </c>
    </row>
    <row r="29" spans="1:13">
      <c r="A29" s="138">
        <v>2049</v>
      </c>
      <c r="B29" s="411">
        <f>'VMT to VOC Savings'!B31</f>
        <v>11403877034.962851</v>
      </c>
      <c r="C29" s="411">
        <f>$B29*'Emissions Per VMT'!D29</f>
        <v>2739213269134.27</v>
      </c>
      <c r="D29" s="411">
        <f>$B29*'Emissions Per VMT'!E29</f>
        <v>197674210.18555078</v>
      </c>
      <c r="E29" s="411">
        <f>$B29*'Emissions Per VMT'!F29</f>
        <v>27102401.780881792</v>
      </c>
      <c r="F29" s="411">
        <f>$B29*'Emissions Per VMT'!G29</f>
        <v>5268136.4310580269</v>
      </c>
      <c r="H29" s="138">
        <v>2049</v>
      </c>
      <c r="I29" s="363">
        <f>'VMT to VOC Savings'!F31</f>
        <v>11357502085.875538</v>
      </c>
      <c r="J29" s="411">
        <f>$I29*'Emissions Per VMT'!L29</f>
        <v>2728073998208.6074</v>
      </c>
      <c r="K29" s="411">
        <f>$I29*'Emissions Per VMT'!M29</f>
        <v>196870349.23500523</v>
      </c>
      <c r="L29" s="411">
        <f>$I29*'Emissions Per VMT'!N29</f>
        <v>26992187.289890803</v>
      </c>
      <c r="M29" s="411">
        <f>$I29*'Emissions Per VMT'!O29</f>
        <v>5246713.0539007392</v>
      </c>
    </row>
    <row r="30" spans="1:13">
      <c r="A30" s="138">
        <v>2050</v>
      </c>
      <c r="B30" s="411">
        <f>'VMT to VOC Savings'!B32</f>
        <v>11439799304.115545</v>
      </c>
      <c r="C30" s="411">
        <f>$B30*'Emissions Per VMT'!D30</f>
        <v>2715604555617.5269</v>
      </c>
      <c r="D30" s="411">
        <f>$B30*'Emissions Per VMT'!E30</f>
        <v>187496678.37512749</v>
      </c>
      <c r="E30" s="411">
        <f>$B30*'Emissions Per VMT'!F30</f>
        <v>26866176.888912026</v>
      </c>
      <c r="F30" s="411">
        <f>$B30*'Emissions Per VMT'!G30</f>
        <v>5016364.8473120024</v>
      </c>
      <c r="H30" s="138">
        <v>2050</v>
      </c>
      <c r="I30" s="363">
        <f>'VMT to VOC Savings'!F32</f>
        <v>11392384746.714657</v>
      </c>
      <c r="J30" s="411">
        <f>$I30*'Emissions Per VMT'!L30</f>
        <v>2704349184377.3931</v>
      </c>
      <c r="K30" s="411">
        <f>$I30*'Emissions Per VMT'!M30</f>
        <v>186719560.54438943</v>
      </c>
      <c r="L30" s="411">
        <f>$I30*'Emissions Per VMT'!N30</f>
        <v>26754824.595713712</v>
      </c>
      <c r="M30" s="411">
        <f>$I30*'Emissions Per VMT'!O30</f>
        <v>4995573.5106221093</v>
      </c>
    </row>
    <row r="31" spans="1:13">
      <c r="A31" s="138">
        <v>2051</v>
      </c>
      <c r="B31" s="411">
        <f>'VMT to VOC Savings'!B33</f>
        <v>11439799304.115545</v>
      </c>
      <c r="C31" s="411">
        <f>$B31*'Emissions Per VMT'!D31</f>
        <v>2683745509079.0186</v>
      </c>
      <c r="D31" s="411">
        <f>$B31*'Emissions Per VMT'!E31</f>
        <v>177284703.26031625</v>
      </c>
      <c r="E31" s="411">
        <f>$B31*'Emissions Per VMT'!F31</f>
        <v>26548383.397005379</v>
      </c>
      <c r="F31" s="411">
        <f>$B31*'Emissions Per VMT'!G31</f>
        <v>4761626.6310431892</v>
      </c>
      <c r="H31" s="138">
        <v>2051</v>
      </c>
      <c r="I31" s="363">
        <f>'VMT to VOC Savings'!F33</f>
        <v>11392384746.714657</v>
      </c>
      <c r="J31" s="411">
        <f>$I31*'Emissions Per VMT'!L31</f>
        <v>2672622184088.1836</v>
      </c>
      <c r="K31" s="411">
        <f>$I31*'Emissions Per VMT'!M31</f>
        <v>176549911.02178356</v>
      </c>
      <c r="L31" s="411">
        <f>$I31*'Emissions Per VMT'!N31</f>
        <v>26438348.263082594</v>
      </c>
      <c r="M31" s="411">
        <f>$I31*'Emissions Per VMT'!O31</f>
        <v>4741891.1083109006</v>
      </c>
    </row>
    <row r="32" spans="1:13">
      <c r="A32" s="138">
        <v>2052</v>
      </c>
      <c r="B32" s="411">
        <f>'VMT to VOC Savings'!B34</f>
        <v>11439799304.115545</v>
      </c>
      <c r="C32" s="411">
        <f>$B32*'Emissions Per VMT'!D32</f>
        <v>2652260227875.4678</v>
      </c>
      <c r="D32" s="411">
        <f>$B32*'Emissions Per VMT'!E32</f>
        <v>167628921.65596753</v>
      </c>
      <c r="E32" s="411">
        <f>$B32*'Emissions Per VMT'!F32</f>
        <v>26234349.007255904</v>
      </c>
      <c r="F32" s="411">
        <f>$B32*'Emissions Per VMT'!G32</f>
        <v>4519824.3874962544</v>
      </c>
      <c r="H32" s="138">
        <v>2052</v>
      </c>
      <c r="I32" s="363">
        <f>'VMT to VOC Savings'!F34</f>
        <v>11392384746.714657</v>
      </c>
      <c r="J32" s="411">
        <f>$I32*'Emissions Per VMT'!L32</f>
        <v>2641267399988.0547</v>
      </c>
      <c r="K32" s="411">
        <f>$I32*'Emissions Per VMT'!M32</f>
        <v>166934149.75336549</v>
      </c>
      <c r="L32" s="411">
        <f>$I32*'Emissions Per VMT'!N32</f>
        <v>26125615.452250969</v>
      </c>
      <c r="M32" s="411">
        <f>$I32*'Emissions Per VMT'!O32</f>
        <v>4501091.062971428</v>
      </c>
    </row>
    <row r="33" spans="1:13">
      <c r="A33" s="138">
        <v>2053</v>
      </c>
      <c r="B33" s="411">
        <f>'VMT to VOC Savings'!B35</f>
        <v>11439799304.115545</v>
      </c>
      <c r="C33" s="411">
        <f>$B33*'Emissions Per VMT'!D33</f>
        <v>2621144327050.6133</v>
      </c>
      <c r="D33" s="411">
        <f>$B33*'Emissions Per VMT'!E33</f>
        <v>158499040.57589576</v>
      </c>
      <c r="E33" s="411">
        <f>$B33*'Emissions Per VMT'!F33</f>
        <v>25924029.254155699</v>
      </c>
      <c r="F33" s="411">
        <f>$B33*'Emissions Per VMT'!G33</f>
        <v>4290301.2093853094</v>
      </c>
      <c r="H33" s="138">
        <v>2053</v>
      </c>
      <c r="I33" s="363">
        <f>'VMT to VOC Savings'!F35</f>
        <v>11392384746.714657</v>
      </c>
      <c r="J33" s="411">
        <f>$I33*'Emissions Per VMT'!L33</f>
        <v>2610280465295.0806</v>
      </c>
      <c r="K33" s="411">
        <f>$I33*'Emissions Per VMT'!M33</f>
        <v>157842109.30834565</v>
      </c>
      <c r="L33" s="411">
        <f>$I33*'Emissions Per VMT'!N33</f>
        <v>25816581.882007197</v>
      </c>
      <c r="M33" s="411">
        <f>$I33*'Emissions Per VMT'!O33</f>
        <v>4272519.190002651</v>
      </c>
    </row>
    <row r="34" spans="1:13">
      <c r="A34" s="138">
        <v>2054</v>
      </c>
      <c r="B34" s="411">
        <f>'VMT to VOC Savings'!B36</f>
        <v>11439799304.115545</v>
      </c>
      <c r="C34" s="411">
        <f>$B34*'Emissions Per VMT'!D34</f>
        <v>2590393473091.8115</v>
      </c>
      <c r="D34" s="411">
        <f>$B34*'Emissions Per VMT'!E34</f>
        <v>149866416.93632296</v>
      </c>
      <c r="E34" s="411">
        <f>$B34*'Emissions Per VMT'!F34</f>
        <v>25617380.198168572</v>
      </c>
      <c r="F34" s="411">
        <f>$B34*'Emissions Per VMT'!G34</f>
        <v>4072433.5481205233</v>
      </c>
      <c r="H34" s="138">
        <v>2054</v>
      </c>
      <c r="I34" s="363">
        <f>'VMT to VOC Savings'!F36</f>
        <v>11392384746.714657</v>
      </c>
      <c r="J34" s="411">
        <f>$I34*'Emissions Per VMT'!L34</f>
        <v>2579657064457.7358</v>
      </c>
      <c r="K34" s="411">
        <f>$I34*'Emissions Per VMT'!M34</f>
        <v>149245265.31998855</v>
      </c>
      <c r="L34" s="411">
        <f>$I34*'Emissions Per VMT'!N34</f>
        <v>25511203.794931367</v>
      </c>
      <c r="M34" s="411">
        <f>$I34*'Emissions Per VMT'!O34</f>
        <v>4055554.5252377358</v>
      </c>
    </row>
    <row r="35" spans="1:13" ht="14.25" customHeight="1"/>
    <row r="36" spans="1:13" ht="18">
      <c r="A36" s="168" t="s">
        <v>77</v>
      </c>
    </row>
    <row r="37" spans="1:13" s="245" customFormat="1">
      <c r="A37" s="413" t="s">
        <v>3</v>
      </c>
      <c r="B37" s="410"/>
      <c r="C37" s="415"/>
      <c r="D37" s="422" t="s">
        <v>32</v>
      </c>
      <c r="E37" s="415"/>
      <c r="F37" s="415"/>
      <c r="H37" s="414" t="s">
        <v>2</v>
      </c>
      <c r="I37" s="410"/>
      <c r="J37" s="327"/>
      <c r="K37" s="422" t="s">
        <v>32</v>
      </c>
      <c r="L37" s="327"/>
      <c r="M37" s="327"/>
    </row>
    <row r="38" spans="1:13" s="245" customFormat="1" ht="15.6">
      <c r="A38" s="327" t="s">
        <v>1</v>
      </c>
      <c r="B38" s="327" t="s">
        <v>77</v>
      </c>
      <c r="C38" s="423" t="s">
        <v>27</v>
      </c>
      <c r="D38" s="423" t="s">
        <v>28</v>
      </c>
      <c r="E38" s="423" t="s">
        <v>29</v>
      </c>
      <c r="F38" s="423" t="s">
        <v>30</v>
      </c>
      <c r="H38" s="327" t="s">
        <v>1</v>
      </c>
      <c r="I38" s="327" t="s">
        <v>77</v>
      </c>
      <c r="J38" s="401" t="s">
        <v>27</v>
      </c>
      <c r="K38" s="401" t="s">
        <v>28</v>
      </c>
      <c r="L38" s="401" t="s">
        <v>29</v>
      </c>
      <c r="M38" s="401" t="s">
        <v>30</v>
      </c>
    </row>
    <row r="39" spans="1:13" s="182" customFormat="1">
      <c r="A39" s="138">
        <v>2025</v>
      </c>
      <c r="B39" s="411">
        <f>'VMT to VOC Savings'!C7</f>
        <v>981224477.5</v>
      </c>
      <c r="C39" s="411">
        <f>$B39*'Emissions Per VMT'!D40</f>
        <v>907785973040.1626</v>
      </c>
      <c r="D39" s="411">
        <f>$B39*'Emissions Per VMT'!E40</f>
        <v>1152862225.1419573</v>
      </c>
      <c r="E39" s="411">
        <f>$B39*'Emissions Per VMT'!F40</f>
        <v>8532636.7375306357</v>
      </c>
      <c r="F39" s="411">
        <f>$B39*'Emissions Per VMT'!G40</f>
        <v>13412109.432316517</v>
      </c>
      <c r="H39" s="138">
        <v>2025</v>
      </c>
      <c r="I39" s="411">
        <f>'VMT to VOC Savings'!G7</f>
        <v>984249922.5</v>
      </c>
      <c r="J39" s="411">
        <f>$I39*'Emissions Per VMT'!L40</f>
        <v>915577574390.62805</v>
      </c>
      <c r="K39" s="411">
        <f>$I39*'Emissions Per VMT'!M40</f>
        <v>1144504657.7102029</v>
      </c>
      <c r="L39" s="411">
        <f>$I39*'Emissions Per VMT'!N40</f>
        <v>8656206.4725668114</v>
      </c>
      <c r="M39" s="411">
        <f>$I39*'Emissions Per VMT'!O40</f>
        <v>12799475.667669235</v>
      </c>
    </row>
    <row r="40" spans="1:13" s="182" customFormat="1">
      <c r="A40" s="138">
        <v>2026</v>
      </c>
      <c r="B40" s="411">
        <f>'VMT to VOC Savings'!C8</f>
        <v>985646273.91499352</v>
      </c>
      <c r="C40" s="411">
        <f>$B40*'Emissions Per VMT'!D41</f>
        <v>901178829861.78894</v>
      </c>
      <c r="D40" s="411">
        <f>$B40*'Emissions Per VMT'!E41</f>
        <v>1094984084.1684453</v>
      </c>
      <c r="E40" s="411">
        <f>$B40*'Emissions Per VMT'!F41</f>
        <v>8469702.9428359065</v>
      </c>
      <c r="F40" s="411">
        <f>$B40*'Emissions Per VMT'!G41</f>
        <v>12788394.406537376</v>
      </c>
      <c r="H40" s="138">
        <v>2026</v>
      </c>
      <c r="I40" s="411">
        <f>'VMT to VOC Savings'!G8</f>
        <v>988717395.45994699</v>
      </c>
      <c r="J40" s="411">
        <f>$I40*'Emissions Per VMT'!L41</f>
        <v>903986763898.05481</v>
      </c>
      <c r="K40" s="411">
        <f>$I40*'Emissions Per VMT'!M41</f>
        <v>1098395885.4416482</v>
      </c>
      <c r="L40" s="411">
        <f>$I40*'Emissions Per VMT'!N41</f>
        <v>8496093.228961356</v>
      </c>
      <c r="M40" s="411">
        <f>$I40*'Emissions Per VMT'!O41</f>
        <v>12828241.068191439</v>
      </c>
    </row>
    <row r="41" spans="1:13" s="182" customFormat="1">
      <c r="A41" s="138">
        <v>2027</v>
      </c>
      <c r="B41" s="411">
        <f>'VMT to VOC Savings'!C9</f>
        <v>990087996.7423259</v>
      </c>
      <c r="C41" s="411">
        <f>$B41*'Emissions Per VMT'!D42</f>
        <v>894619775486.58704</v>
      </c>
      <c r="D41" s="411">
        <f>$B41*'Emissions Per VMT'!E42</f>
        <v>1040011649.6440606</v>
      </c>
      <c r="E41" s="411">
        <f>$B41*'Emissions Per VMT'!F42</f>
        <v>8407233.3261715472</v>
      </c>
      <c r="F41" s="411">
        <f>$B41*'Emissions Per VMT'!G42</f>
        <v>12193684.54473679</v>
      </c>
      <c r="H41" s="138">
        <v>2027</v>
      </c>
      <c r="I41" s="411">
        <f>'VMT to VOC Savings'!G9</f>
        <v>993205146.10972822</v>
      </c>
      <c r="J41" s="411">
        <f>$I41*'Emissions Per VMT'!L42</f>
        <v>897436356918.13562</v>
      </c>
      <c r="K41" s="411">
        <f>$I41*'Emissions Per VMT'!M42</f>
        <v>1043285976.4376848</v>
      </c>
      <c r="L41" s="411">
        <f>$I41*'Emissions Per VMT'!N42</f>
        <v>8433702.2886582222</v>
      </c>
      <c r="M41" s="411">
        <f>$I41*'Emissions Per VMT'!O42</f>
        <v>12232074.603186132</v>
      </c>
    </row>
    <row r="42" spans="1:13" s="182" customFormat="1">
      <c r="A42" s="138">
        <v>2028</v>
      </c>
      <c r="B42" s="411">
        <f>'VMT to VOC Savings'!C10</f>
        <v>994549735.77851236</v>
      </c>
      <c r="C42" s="411">
        <f>$B42*'Emissions Per VMT'!D43</f>
        <v>888108459909.58057</v>
      </c>
      <c r="D42" s="411">
        <f>$B42*'Emissions Per VMT'!E43</f>
        <v>987799043.87082398</v>
      </c>
      <c r="E42" s="411">
        <f>$B42*'Emissions Per VMT'!F43</f>
        <v>8345224.4639200093</v>
      </c>
      <c r="F42" s="411">
        <f>$B42*'Emissions Per VMT'!G43</f>
        <v>11626630.994469892</v>
      </c>
      <c r="H42" s="138">
        <v>2028</v>
      </c>
      <c r="I42" s="411">
        <f>'VMT to VOC Savings'!G10</f>
        <v>997713266.48900664</v>
      </c>
      <c r="J42" s="411">
        <f>$I42*'Emissions Per VMT'!L43</f>
        <v>890933415048.67627</v>
      </c>
      <c r="K42" s="411">
        <f>$I42*'Emissions Per VMT'!M43</f>
        <v>990941101.52632785</v>
      </c>
      <c r="L42" s="411">
        <f>$I42*'Emissions Per VMT'!N43</f>
        <v>8371769.5153416088</v>
      </c>
      <c r="M42" s="411">
        <f>$I42*'Emissions Per VMT'!O43</f>
        <v>11663613.764549058</v>
      </c>
    </row>
    <row r="43" spans="1:13">
      <c r="A43" s="138">
        <v>2029</v>
      </c>
      <c r="B43" s="411">
        <f>'VMT to VOC Savings'!C11</f>
        <v>999031581.22472751</v>
      </c>
      <c r="C43" s="411">
        <f>$B43*'Emissions Per VMT'!D44</f>
        <v>881644535673.23657</v>
      </c>
      <c r="D43" s="411">
        <f>$B43*'Emissions Per VMT'!E44</f>
        <v>938207712.77519751</v>
      </c>
      <c r="E43" s="411">
        <f>$B43*'Emissions Per VMT'!F44</f>
        <v>8283672.9577151686</v>
      </c>
      <c r="F43" s="411">
        <f>$B43*'Emissions Per VMT'!G44</f>
        <v>11085947.630153811</v>
      </c>
      <c r="H43" s="138">
        <v>2029</v>
      </c>
      <c r="I43" s="411">
        <f>'VMT to VOC Savings'!G11</f>
        <v>1002241849.0552095</v>
      </c>
      <c r="J43" s="411">
        <f>$I43*'Emissions Per VMT'!L44</f>
        <v>884477594351.2439</v>
      </c>
      <c r="K43" s="411">
        <f>$I43*'Emissions Per VMT'!M44</f>
        <v>941222530.41984093</v>
      </c>
      <c r="L43" s="411">
        <f>$I43*'Emissions Per VMT'!N44</f>
        <v>8310291.5444687391</v>
      </c>
      <c r="M43" s="411">
        <f>$I43*'Emissions Per VMT'!O44</f>
        <v>11121570.989531361</v>
      </c>
    </row>
    <row r="44" spans="1:13">
      <c r="A44" s="138">
        <v>2030</v>
      </c>
      <c r="B44" s="411">
        <f>'VMT to VOC Savings'!C12</f>
        <v>1003533623.6886293</v>
      </c>
      <c r="C44" s="411">
        <f>$B44*'Emissions Per VMT'!D45</f>
        <v>875227657848.92371</v>
      </c>
      <c r="D44" s="411">
        <f>$B44*'Emissions Per VMT'!E45</f>
        <v>891106058.23382103</v>
      </c>
      <c r="E44" s="411">
        <f>$B44*'Emissions Per VMT'!F45</f>
        <v>8222575.4342560843</v>
      </c>
      <c r="F44" s="411">
        <f>$B44*'Emissions Per VMT'!G45</f>
        <v>10570408.13602568</v>
      </c>
      <c r="H44" s="138">
        <v>2030</v>
      </c>
      <c r="I44" s="411">
        <f>'VMT to VOC Savings'!G12</f>
        <v>1006790986.685425</v>
      </c>
      <c r="J44" s="411">
        <f>$I44*'Emissions Per VMT'!L45</f>
        <v>878068553379.62878</v>
      </c>
      <c r="K44" s="411">
        <f>$I44*'Emissions Per VMT'!M45</f>
        <v>893998493.35686386</v>
      </c>
      <c r="L44" s="411">
        <f>$I44*'Emissions Per VMT'!N45</f>
        <v>8249265.0362043083</v>
      </c>
      <c r="M44" s="411">
        <f>$I44*'Emissions Per VMT'!O45</f>
        <v>10604718.552249463</v>
      </c>
    </row>
    <row r="45" spans="1:13">
      <c r="A45" s="138">
        <v>2031</v>
      </c>
      <c r="B45" s="411">
        <f>'VMT to VOC Savings'!C13</f>
        <v>1008055954.1861906</v>
      </c>
      <c r="C45" s="411">
        <f>$B45*'Emissions Per VMT'!D46</f>
        <v>868857484018.50635</v>
      </c>
      <c r="D45" s="411">
        <f>$B45*'Emissions Per VMT'!E46</f>
        <v>846369088.85792136</v>
      </c>
      <c r="E45" s="411">
        <f>$B45*'Emissions Per VMT'!F46</f>
        <v>8161928.5451221243</v>
      </c>
      <c r="F45" s="411">
        <f>$B45*'Emissions Per VMT'!G46</f>
        <v>10078843.224754406</v>
      </c>
      <c r="H45" s="138">
        <v>2031</v>
      </c>
      <c r="I45" s="411">
        <f>'VMT to VOC Savings'!G13</f>
        <v>1011360772.6783068</v>
      </c>
      <c r="J45" s="411">
        <f>$I45*'Emissions Per VMT'!L46</f>
        <v>871705953161.78528</v>
      </c>
      <c r="K45" s="411">
        <f>$I45*'Emissions Per VMT'!M46</f>
        <v>849143831.87134004</v>
      </c>
      <c r="L45" s="411">
        <f>$I45*'Emissions Per VMT'!N46</f>
        <v>8188686.6752390452</v>
      </c>
      <c r="M45" s="411">
        <f>$I45*'Emissions Per VMT'!O46</f>
        <v>10111885.782888195</v>
      </c>
    </row>
    <row r="46" spans="1:13">
      <c r="A46" s="138">
        <v>2032</v>
      </c>
      <c r="B46" s="411">
        <f>'VMT to VOC Savings'!C14</f>
        <v>1012598664.1435392</v>
      </c>
      <c r="C46" s="411">
        <f>$B46*'Emissions Per VMT'!D47</f>
        <v>862533674256.07275</v>
      </c>
      <c r="D46" s="411">
        <f>$B46*'Emissions Per VMT'!E47</f>
        <v>803878088.30969059</v>
      </c>
      <c r="E46" s="411">
        <f>$B46*'Emissions Per VMT'!F47</f>
        <v>8101728.9665894508</v>
      </c>
      <c r="F46" s="411">
        <f>$B46*'Emissions Per VMT'!G47</f>
        <v>9610137.9853977449</v>
      </c>
      <c r="H46" s="138">
        <v>2032</v>
      </c>
      <c r="I46" s="411">
        <f>'VMT to VOC Savings'!G14</f>
        <v>1015951300.7559876</v>
      </c>
      <c r="J46" s="411">
        <f>$I46*'Emissions Per VMT'!L47</f>
        <v>865389457181.90393</v>
      </c>
      <c r="K46" s="411">
        <f>$I46*'Emissions Per VMT'!M47</f>
        <v>806539667.08344066</v>
      </c>
      <c r="L46" s="411">
        <f>$I46*'Emissions Per VMT'!N47</f>
        <v>8128553.1706096055</v>
      </c>
      <c r="M46" s="411">
        <f>$I46*'Emissions Per VMT'!O47</f>
        <v>9641956.4161358289</v>
      </c>
    </row>
    <row r="47" spans="1:13">
      <c r="A47" s="138">
        <v>2033</v>
      </c>
      <c r="B47" s="411">
        <f>'VMT to VOC Savings'!C15</f>
        <v>1017161845.3988062</v>
      </c>
      <c r="C47" s="411">
        <f>$B47*'Emissions Per VMT'!D48</f>
        <v>856255891109.79541</v>
      </c>
      <c r="D47" s="411">
        <f>$B47*'Emissions Per VMT'!E48</f>
        <v>763520300.27046824</v>
      </c>
      <c r="E47" s="411">
        <f>$B47*'Emissions Per VMT'!F48</f>
        <v>8041973.3994488725</v>
      </c>
      <c r="F47" s="411">
        <f>$B47*'Emissions Per VMT'!G48</f>
        <v>9163229.3546896689</v>
      </c>
      <c r="H47" s="138">
        <v>2033</v>
      </c>
      <c r="I47" s="411">
        <f>'VMT to VOC Savings'!G15</f>
        <v>1020562665.0660014</v>
      </c>
      <c r="J47" s="411">
        <f>$I47*'Emissions Per VMT'!L48</f>
        <v>859118731362.61304</v>
      </c>
      <c r="K47" s="411">
        <f>$I47*'Emissions Per VMT'!M48</f>
        <v>766073084.63335848</v>
      </c>
      <c r="L47" s="411">
        <f>$I47*'Emissions Per VMT'!N48</f>
        <v>8068861.2555197841</v>
      </c>
      <c r="M47" s="411">
        <f>$I47*'Emissions Per VMT'!O48</f>
        <v>9193866.0628452245</v>
      </c>
    </row>
    <row r="48" spans="1:13">
      <c r="A48" s="138">
        <v>2034</v>
      </c>
      <c r="B48" s="411">
        <f>'VMT to VOC Savings'!C16</f>
        <v>1021745590.2039827</v>
      </c>
      <c r="C48" s="411">
        <f>$B48*'Emissions Per VMT'!D49</f>
        <v>850023799583.92432</v>
      </c>
      <c r="D48" s="411">
        <f>$B48*'Emissions Per VMT'!E49</f>
        <v>725188629.22473609</v>
      </c>
      <c r="E48" s="411">
        <f>$B48*'Emissions Per VMT'!F49</f>
        <v>7982658.5688250326</v>
      </c>
      <c r="F48" s="411">
        <f>$B48*'Emissions Per VMT'!G49</f>
        <v>8737103.705922626</v>
      </c>
      <c r="H48" s="138">
        <v>2034</v>
      </c>
      <c r="I48" s="411">
        <f>'VMT to VOC Savings'!G16</f>
        <v>1025194960.1832142</v>
      </c>
      <c r="J48" s="411">
        <f>$I48*'Emissions Per VMT'!L49</f>
        <v>852893444047.30957</v>
      </c>
      <c r="K48" s="411">
        <f>$I48*'Emissions Per VMT'!M49</f>
        <v>727636835.42294288</v>
      </c>
      <c r="L48" s="411">
        <f>$I48*'Emissions Per VMT'!N49</f>
        <v>8009607.6871630549</v>
      </c>
      <c r="M48" s="411">
        <f>$I48*'Emissions Per VMT'!O49</f>
        <v>8766599.799194362</v>
      </c>
    </row>
    <row r="49" spans="1:13">
      <c r="A49" s="138">
        <v>2035</v>
      </c>
      <c r="B49" s="411">
        <f>'VMT to VOC Savings'!C17</f>
        <v>1026349991.2267848</v>
      </c>
      <c r="C49" s="411">
        <f>$B49*'Emissions Per VMT'!D50</f>
        <v>843837067120.91052</v>
      </c>
      <c r="D49" s="411">
        <f>$B49*'Emissions Per VMT'!E50</f>
        <v>688781356.26591516</v>
      </c>
      <c r="E49" s="411">
        <f>$B49*'Emissions Per VMT'!F50</f>
        <v>7923781.223996928</v>
      </c>
      <c r="F49" s="411">
        <f>$B49*'Emissions Per VMT'!G50</f>
        <v>8330794.5499561485</v>
      </c>
      <c r="H49" s="138">
        <v>2035</v>
      </c>
      <c r="I49" s="411">
        <f>'VMT to VOC Savings'!G17</f>
        <v>1029848281.1117636</v>
      </c>
      <c r="J49" s="411">
        <f>$I49*'Emissions Per VMT'!L50</f>
        <v>846713265982.61731</v>
      </c>
      <c r="K49" s="411">
        <f>$I49*'Emissions Per VMT'!M50</f>
        <v>691129051.37205231</v>
      </c>
      <c r="L49" s="411">
        <f>$I49*'Emissions Per VMT'!N50</f>
        <v>7950789.2465463895</v>
      </c>
      <c r="M49" s="411">
        <f>$I49*'Emissions Per VMT'!O50</f>
        <v>8359189.8678857693</v>
      </c>
    </row>
    <row r="50" spans="1:13">
      <c r="A50" s="138">
        <v>2036</v>
      </c>
      <c r="B50" s="411">
        <f>'VMT to VOC Savings'!C18</f>
        <v>1030975141.552527</v>
      </c>
      <c r="C50" s="411">
        <f>$B50*'Emissions Per VMT'!D51</f>
        <v>837695363583.66064</v>
      </c>
      <c r="D50" s="411">
        <f>$B50*'Emissions Per VMT'!E51</f>
        <v>654201869.16980851</v>
      </c>
      <c r="E50" s="411">
        <f>$B50*'Emissions Per VMT'!F51</f>
        <v>7865338.1382197542</v>
      </c>
      <c r="F50" s="411">
        <f>$B50*'Emissions Per VMT'!G51</f>
        <v>7943380.3431374393</v>
      </c>
      <c r="H50" s="138">
        <v>2036</v>
      </c>
      <c r="I50" s="411">
        <f>'VMT to VOC Savings'!G18</f>
        <v>1034522723.2870077</v>
      </c>
      <c r="J50" s="411">
        <f>$I50*'Emissions Per VMT'!L51</f>
        <v>840577870300.97437</v>
      </c>
      <c r="K50" s="411">
        <f>$I50*'Emissions Per VMT'!M51</f>
        <v>656452975.43628454</v>
      </c>
      <c r="L50" s="411">
        <f>$I50*'Emissions Per VMT'!N51</f>
        <v>7892402.7383153923</v>
      </c>
      <c r="M50" s="411">
        <f>$I50*'Emissions Per VMT'!O51</f>
        <v>7970713.4861780293</v>
      </c>
    </row>
    <row r="51" spans="1:13">
      <c r="A51" s="138">
        <v>2037</v>
      </c>
      <c r="B51" s="411">
        <f>'VMT to VOC Savings'!C19</f>
        <v>1035621134.6860038</v>
      </c>
      <c r="C51" s="411">
        <f>$B51*'Emissions Per VMT'!D52</f>
        <v>831598361237.91931</v>
      </c>
      <c r="D51" s="411">
        <f>$B51*'Emissions Per VMT'!E52</f>
        <v>621358406.01940238</v>
      </c>
      <c r="E51" s="411">
        <f>$B51*'Emissions Per VMT'!F52</f>
        <v>7807326.1085480684</v>
      </c>
      <c r="F51" s="411">
        <f>$B51*'Emissions Per VMT'!G52</f>
        <v>7573982.3971621525</v>
      </c>
      <c r="H51" s="138">
        <v>2037</v>
      </c>
      <c r="I51" s="411">
        <f>'VMT to VOC Savings'!G19</f>
        <v>1039218382.5774816</v>
      </c>
      <c r="J51" s="411">
        <f>$I51*'Emissions Per VMT'!L52</f>
        <v>834486932503.34302</v>
      </c>
      <c r="K51" s="411">
        <f>$I51*'Emissions Per VMT'!M52</f>
        <v>623516705.1705519</v>
      </c>
      <c r="L51" s="411">
        <f>$I51*'Emissions Per VMT'!N52</f>
        <v>7834444.990580705</v>
      </c>
      <c r="M51" s="411">
        <f>$I51*'Emissions Per VMT'!O52</f>
        <v>7600290.7557845777</v>
      </c>
    </row>
    <row r="52" spans="1:13">
      <c r="A52" s="138">
        <v>2038</v>
      </c>
      <c r="B52" s="411">
        <f>'VMT to VOC Savings'!C20</f>
        <v>1040288064.5533808</v>
      </c>
      <c r="C52" s="411">
        <f>$B52*'Emissions Per VMT'!D53</f>
        <v>833895472877.4751</v>
      </c>
      <c r="D52" s="411">
        <f>$B52*'Emissions Per VMT'!E53</f>
        <v>602417333.62398171</v>
      </c>
      <c r="E52" s="411">
        <f>$B52*'Emissions Per VMT'!F53</f>
        <v>7837807.2051563933</v>
      </c>
      <c r="F52" s="411">
        <f>$B52*'Emissions Per VMT'!G53</f>
        <v>7622971.9353644419</v>
      </c>
      <c r="H52" s="138">
        <v>2038</v>
      </c>
      <c r="I52" s="411">
        <f>'VMT to VOC Savings'!G20</f>
        <v>1043935355.2868645</v>
      </c>
      <c r="J52" s="411">
        <f>$I52*'Emissions Per VMT'!L53</f>
        <v>836819143093.97974</v>
      </c>
      <c r="K52" s="411">
        <f>$I52*'Emissions Per VMT'!M53</f>
        <v>604529432.41035008</v>
      </c>
      <c r="L52" s="411">
        <f>$I52*'Emissions Per VMT'!N53</f>
        <v>7865286.8644587146</v>
      </c>
      <c r="M52" s="411">
        <f>$I52*'Emissions Per VMT'!O53</f>
        <v>7649698.373789357</v>
      </c>
    </row>
    <row r="53" spans="1:13">
      <c r="A53" s="138">
        <v>2039</v>
      </c>
      <c r="B53" s="411">
        <f>'VMT to VOC Savings'!C21</f>
        <v>1044976025.5040928</v>
      </c>
      <c r="C53" s="411">
        <f>$B53*'Emissions Per VMT'!D54</f>
        <v>827826127295.22607</v>
      </c>
      <c r="D53" s="411">
        <f>$B53*'Emissions Per VMT'!E54</f>
        <v>572173654.3707366</v>
      </c>
      <c r="E53" s="411">
        <f>$B53*'Emissions Per VMT'!F54</f>
        <v>7779998.2341806851</v>
      </c>
      <c r="F53" s="411">
        <f>$B53*'Emissions Per VMT'!G54</f>
        <v>7268474.2211030768</v>
      </c>
      <c r="H53" s="138">
        <v>2039</v>
      </c>
      <c r="I53" s="411">
        <f>'VMT to VOC Savings'!G21</f>
        <v>1048673738.1559541</v>
      </c>
      <c r="J53" s="411">
        <f>$I53*'Emissions Per VMT'!L54</f>
        <v>830755441528.02319</v>
      </c>
      <c r="K53" s="411">
        <f>$I53*'Emissions Per VMT'!M54</f>
        <v>574198326.4294163</v>
      </c>
      <c r="L53" s="411">
        <f>$I53*'Emissions Per VMT'!N54</f>
        <v>7807528.2417596728</v>
      </c>
      <c r="M53" s="411">
        <f>$I53*'Emissions Per VMT'!O54</f>
        <v>7294194.1691508181</v>
      </c>
    </row>
    <row r="54" spans="1:13">
      <c r="A54" s="138">
        <v>2040</v>
      </c>
      <c r="B54" s="411">
        <f>'VMT to VOC Savings'!C22</f>
        <v>1049685112.3127514</v>
      </c>
      <c r="C54" s="411">
        <f>$B54*'Emissions Per VMT'!D55</f>
        <v>821800956261.22058</v>
      </c>
      <c r="D54" s="411">
        <f>$B54*'Emissions Per VMT'!E55</f>
        <v>543448324.74609637</v>
      </c>
      <c r="E54" s="411">
        <f>$B54*'Emissions Per VMT'!F55</f>
        <v>7722615.6422977243</v>
      </c>
      <c r="F54" s="411">
        <f>$B54*'Emissions Per VMT'!G55</f>
        <v>6930462.023315086</v>
      </c>
      <c r="H54" s="138">
        <v>2040</v>
      </c>
      <c r="I54" s="411">
        <f>'VMT to VOC Savings'!G22</f>
        <v>1053433628.3646508</v>
      </c>
      <c r="J54" s="411">
        <f>$I54*'Emissions Per VMT'!L55</f>
        <v>824735678341.08716</v>
      </c>
      <c r="K54" s="411">
        <f>$I54*'Emissions Per VMT'!M55</f>
        <v>545389025.57608163</v>
      </c>
      <c r="L54" s="411">
        <f>$I54*'Emissions Per VMT'!N55</f>
        <v>7750193.7686884291</v>
      </c>
      <c r="M54" s="411">
        <f>$I54*'Emissions Per VMT'!O55</f>
        <v>6955211.3008238785</v>
      </c>
    </row>
    <row r="55" spans="1:13">
      <c r="A55" s="138">
        <v>2041</v>
      </c>
      <c r="B55" s="411">
        <f>'VMT to VOC Savings'!C23</f>
        <v>1054415420.1810614</v>
      </c>
      <c r="C55" s="411">
        <f>$B55*'Emissions Per VMT'!D56</f>
        <v>815819638259.62378</v>
      </c>
      <c r="D55" s="411">
        <f>$B55*'Emissions Per VMT'!E56</f>
        <v>516165117.72836244</v>
      </c>
      <c r="E55" s="411">
        <f>$B55*'Emissions Per VMT'!F56</f>
        <v>7665656.2846819311</v>
      </c>
      <c r="F55" s="411">
        <f>$B55*'Emissions Per VMT'!G56</f>
        <v>6608168.7016457943</v>
      </c>
      <c r="H55" s="138">
        <v>2041</v>
      </c>
      <c r="I55" s="411">
        <f>'VMT to VOC Savings'!G23</f>
        <v>1058215123.5339512</v>
      </c>
      <c r="J55" s="411">
        <f>$I55*'Emissions Per VMT'!L56</f>
        <v>818759535149.8988</v>
      </c>
      <c r="K55" s="411">
        <f>$I55*'Emissions Per VMT'!M56</f>
        <v>518025176.19387734</v>
      </c>
      <c r="L55" s="411">
        <f>$I55*'Emissions Per VMT'!N56</f>
        <v>7693280.3305082005</v>
      </c>
      <c r="M55" s="411">
        <f>$I55*'Emissions Per VMT'!O56</f>
        <v>6631981.9732383071</v>
      </c>
    </row>
    <row r="56" spans="1:13">
      <c r="A56" s="138">
        <v>2042</v>
      </c>
      <c r="B56" s="411">
        <f>'VMT to VOC Savings'!C24</f>
        <v>1059167044.739745</v>
      </c>
      <c r="C56" s="411">
        <f>$B56*'Emissions Per VMT'!D57</f>
        <v>809881854114.69104</v>
      </c>
      <c r="D56" s="411">
        <f>$B56*'Emissions Per VMT'!E57</f>
        <v>490251633.18703938</v>
      </c>
      <c r="E56" s="411">
        <f>$B56*'Emissions Per VMT'!F57</f>
        <v>7609117.0397028765</v>
      </c>
      <c r="F56" s="411">
        <f>$B56*'Emissions Per VMT'!G57</f>
        <v>6300863.2674857602</v>
      </c>
      <c r="H56" s="138">
        <v>2042</v>
      </c>
      <c r="I56" s="411">
        <f>'VMT to VOC Savings'!G24</f>
        <v>1063018321.7279494</v>
      </c>
      <c r="J56" s="411">
        <f>$I56*'Emissions Per VMT'!L57</f>
        <v>812826695878.2323</v>
      </c>
      <c r="K56" s="411">
        <f>$I56*'Emissions Per VMT'!M57</f>
        <v>492034255.52475268</v>
      </c>
      <c r="L56" s="411">
        <f>$I56*'Emissions Per VMT'!N57</f>
        <v>7636784.835355225</v>
      </c>
      <c r="M56" s="411">
        <f>$I56*'Emissions Per VMT'!O57</f>
        <v>6323774.0725645311</v>
      </c>
    </row>
    <row r="57" spans="1:13">
      <c r="A57" s="138">
        <v>2043</v>
      </c>
      <c r="B57" s="411">
        <f>'VMT to VOC Savings'!C25</f>
        <v>1063940082.0504755</v>
      </c>
      <c r="C57" s="411">
        <f>$B57*'Emissions Per VMT'!D58</f>
        <v>803987286973.73596</v>
      </c>
      <c r="D57" s="411">
        <f>$B57*'Emissions Per VMT'!E58</f>
        <v>465639105.75810057</v>
      </c>
      <c r="E57" s="411">
        <f>$B57*'Emissions Per VMT'!F58</f>
        <v>7552994.8087542038</v>
      </c>
      <c r="F57" s="411">
        <f>$B57*'Emissions Per VMT'!G58</f>
        <v>6007848.7260265676</v>
      </c>
      <c r="H57" s="138">
        <v>2043</v>
      </c>
      <c r="I57" s="411">
        <f>'VMT to VOC Savings'!G25</f>
        <v>1067843321.4558492</v>
      </c>
      <c r="J57" s="411">
        <f>$I57*'Emissions Per VMT'!L58</f>
        <v>806936846740.19141</v>
      </c>
      <c r="K57" s="411">
        <f>$I57*'Emissions Per VMT'!M58</f>
        <v>467347379.50108731</v>
      </c>
      <c r="L57" s="411">
        <f>$I57*'Emissions Per VMT'!N58</f>
        <v>7580704.2140708035</v>
      </c>
      <c r="M57" s="411">
        <f>$I57*'Emissions Per VMT'!O58</f>
        <v>6029889.508477171</v>
      </c>
    </row>
    <row r="58" spans="1:13">
      <c r="A58" s="138">
        <v>2044</v>
      </c>
      <c r="B58" s="411">
        <f>'VMT to VOC Savings'!C26</f>
        <v>1068734628.607819</v>
      </c>
      <c r="C58" s="411">
        <f>$B58*'Emissions Per VMT'!D59</f>
        <v>798135622290.22302</v>
      </c>
      <c r="D58" s="411">
        <f>$B58*'Emissions Per VMT'!E59</f>
        <v>442262222.36465889</v>
      </c>
      <c r="E58" s="411">
        <f>$B58*'Emissions Per VMT'!F59</f>
        <v>7497286.5160838142</v>
      </c>
      <c r="F58" s="411">
        <f>$B58*'Emissions Per VMT'!G59</f>
        <v>5728460.495417445</v>
      </c>
      <c r="H58" s="138">
        <v>2044</v>
      </c>
      <c r="I58" s="411">
        <f>'VMT to VOC Savings'!G26</f>
        <v>1072690221.6739836</v>
      </c>
      <c r="J58" s="411">
        <f>$I58*'Emissions Per VMT'!L59</f>
        <v>801089676223.61414</v>
      </c>
      <c r="K58" s="411">
        <f>$I58*'Emissions Per VMT'!M59</f>
        <v>443899120.1813705</v>
      </c>
      <c r="L58" s="411">
        <f>$I58*'Emissions Per VMT'!N59</f>
        <v>7525035.4200345557</v>
      </c>
      <c r="M58" s="411">
        <f>$I58*'Emissions Per VMT'!O59</f>
        <v>5749662.6329817418</v>
      </c>
    </row>
    <row r="59" spans="1:13">
      <c r="A59" s="138">
        <v>2045</v>
      </c>
      <c r="B59" s="411">
        <f>'VMT to VOC Savings'!C27</f>
        <v>1073550781.3411852</v>
      </c>
      <c r="C59" s="411">
        <f>$B59*'Emissions Per VMT'!D60</f>
        <v>792326547806.98193</v>
      </c>
      <c r="D59" s="411">
        <f>$B59*'Emissions Per VMT'!E60</f>
        <v>420058948.89880449</v>
      </c>
      <c r="E59" s="411">
        <f>$B59*'Emissions Per VMT'!F60</f>
        <v>7441989.1086252928</v>
      </c>
      <c r="F59" s="411">
        <f>$B59*'Emissions Per VMT'!G60</f>
        <v>5462064.8994372115</v>
      </c>
      <c r="H59" s="138">
        <v>2045</v>
      </c>
      <c r="I59" s="411">
        <f>'VMT to VOC Savings'!G27</f>
        <v>1077559121.7878447</v>
      </c>
      <c r="J59" s="411">
        <f>$I59*'Emissions Per VMT'!L60</f>
        <v>795284875073.59631</v>
      </c>
      <c r="K59" s="411">
        <f>$I59*'Emissions Per VMT'!M60</f>
        <v>421627332.34569544</v>
      </c>
      <c r="L59" s="411">
        <f>$I59*'Emissions Per VMT'!N60</f>
        <v>7469775.4289989173</v>
      </c>
      <c r="M59" s="411">
        <f>$I59*'Emissions Per VMT'!O60</f>
        <v>5482458.7327231793</v>
      </c>
    </row>
    <row r="60" spans="1:13">
      <c r="A60" s="138">
        <v>2046</v>
      </c>
      <c r="B60" s="411">
        <f>'VMT to VOC Savings'!C28</f>
        <v>1078388637.6167874</v>
      </c>
      <c r="C60" s="411">
        <f>$B60*'Emissions Per VMT'!D61</f>
        <v>786559753539.54553</v>
      </c>
      <c r="D60" s="411">
        <f>$B60*'Emissions Per VMT'!E61</f>
        <v>398970365.60468489</v>
      </c>
      <c r="E60" s="411">
        <f>$B60*'Emissions Per VMT'!F61</f>
        <v>7387099.5558305997</v>
      </c>
      <c r="F60" s="411">
        <f>$B60*'Emissions Per VMT'!G61</f>
        <v>5208057.7302628215</v>
      </c>
      <c r="H60" s="138">
        <v>2046</v>
      </c>
      <c r="I60" s="411">
        <f>'VMT to VOC Savings'!G28</f>
        <v>1082450121.6541224</v>
      </c>
      <c r="J60" s="411">
        <f>$I60*'Emissions Per VMT'!L61</f>
        <v>789522136276.13574</v>
      </c>
      <c r="K60" s="411">
        <f>$I60*'Emissions Per VMT'!M61</f>
        <v>400472988.7914927</v>
      </c>
      <c r="L60" s="411">
        <f>$I60*'Emissions Per VMT'!N61</f>
        <v>7414921.2389248451</v>
      </c>
      <c r="M60" s="411">
        <f>$I60*'Emissions Per VMT'!O61</f>
        <v>5227672.5913612545</v>
      </c>
    </row>
    <row r="61" spans="1:13" s="245" customFormat="1">
      <c r="A61" s="327">
        <v>2047</v>
      </c>
      <c r="B61" s="416">
        <f>'VMT to VOC Savings'!C29</f>
        <v>1083248295.2396107</v>
      </c>
      <c r="C61" s="416">
        <f>$B61*'Emissions Per VMT'!D62</f>
        <v>780834931759.60803</v>
      </c>
      <c r="D61" s="416">
        <f>$B61*'Emissions Per VMT'!E62</f>
        <v>378940510.72599095</v>
      </c>
      <c r="E61" s="416">
        <f>$B61*'Emissions Per VMT'!F62</f>
        <v>7332614.8495039698</v>
      </c>
      <c r="F61" s="416">
        <f>$B61*'Emissions Per VMT'!G62</f>
        <v>4965862.8780747503</v>
      </c>
      <c r="H61" s="327">
        <v>2047</v>
      </c>
      <c r="I61" s="416">
        <f>'VMT to VOC Savings'!G29</f>
        <v>1087363321.5827525</v>
      </c>
      <c r="J61" s="416">
        <f>$I61*'Emissions Per VMT'!L62</f>
        <v>783801155041.8938</v>
      </c>
      <c r="K61" s="416">
        <f>$I61*'Emissions Per VMT'!M62</f>
        <v>380380023.89298481</v>
      </c>
      <c r="L61" s="416">
        <f>$I61*'Emissions Per VMT'!N62</f>
        <v>7360469.8698187238</v>
      </c>
      <c r="M61" s="416">
        <f>$I61*'Emissions Per VMT'!O62</f>
        <v>4984727.1187566966</v>
      </c>
    </row>
    <row r="62" spans="1:13" s="245" customFormat="1">
      <c r="A62" s="327">
        <v>2048</v>
      </c>
      <c r="B62" s="416">
        <f>'VMT to VOC Savings'!C30</f>
        <v>1088129852.455389</v>
      </c>
      <c r="C62" s="416">
        <f>$B62*'Emissions Per VMT'!D63</f>
        <v>775151776978.60437</v>
      </c>
      <c r="D62" s="416">
        <f>$B62*'Emissions Per VMT'!E63</f>
        <v>359916232.0029434</v>
      </c>
      <c r="E62" s="416">
        <f>$B62*'Emissions Per VMT'!F63</f>
        <v>7278532.0036370615</v>
      </c>
      <c r="F62" s="416">
        <f>$B62*'Emissions Per VMT'!G63</f>
        <v>4734931.0243910076</v>
      </c>
      <c r="H62" s="327">
        <v>2048</v>
      </c>
      <c r="I62" s="416">
        <f>'VMT to VOC Savings'!G30</f>
        <v>1092298822.3389733</v>
      </c>
      <c r="J62" s="416">
        <f>$I62*'Emissions Per VMT'!L63</f>
        <v>778121628790.07568</v>
      </c>
      <c r="K62" s="416">
        <f>$I62*'Emissions Per VMT'!M63</f>
        <v>361295185.00974452</v>
      </c>
      <c r="L62" s="416">
        <f>$I62*'Emissions Per VMT'!N63</f>
        <v>7306418.3635704787</v>
      </c>
      <c r="M62" s="416">
        <f>$I62*'Emissions Per VMT'!O63</f>
        <v>4753072.0438630786</v>
      </c>
    </row>
    <row r="63" spans="1:13" s="245" customFormat="1">
      <c r="A63" s="327">
        <v>2049</v>
      </c>
      <c r="B63" s="416">
        <f>'VMT to VOC Savings'!C31</f>
        <v>1093033407.9525914</v>
      </c>
      <c r="C63" s="416">
        <f>$B63*'Emissions Per VMT'!D64</f>
        <v>769509985931.4082</v>
      </c>
      <c r="D63" s="416">
        <f>$B63*'Emissions Per VMT'!E64</f>
        <v>341847045.62470424</v>
      </c>
      <c r="E63" s="416">
        <f>$B63*'Emissions Per VMT'!F64</f>
        <v>7224848.0542452969</v>
      </c>
      <c r="F63" s="416">
        <f>$B63*'Emissions Per VMT'!G64</f>
        <v>4514738.3961661998</v>
      </c>
      <c r="H63" s="327">
        <v>2049</v>
      </c>
      <c r="I63" s="416">
        <f>'VMT to VOC Savings'!G31</f>
        <v>1097256725.1453931</v>
      </c>
      <c r="J63" s="416">
        <f>$I63*'Emissions Per VMT'!L64</f>
        <v>772483257132.42688</v>
      </c>
      <c r="K63" s="416">
        <f>$I63*'Emissions Per VMT'!M64</f>
        <v>343167891.35054499</v>
      </c>
      <c r="L63" s="416">
        <f>$I63*'Emissions Per VMT'!N64</f>
        <v>7252763.7837928776</v>
      </c>
      <c r="M63" s="416">
        <f>$I63*'Emissions Per VMT'!O64</f>
        <v>4532182.6683639241</v>
      </c>
    </row>
    <row r="64" spans="1:13" s="245" customFormat="1">
      <c r="A64" s="327">
        <v>2050</v>
      </c>
      <c r="B64" s="416">
        <f>'VMT to VOC Savings'!C32</f>
        <v>1097959060.8644176</v>
      </c>
      <c r="C64" s="416">
        <f>$B64*'Emissions Per VMT'!D65</f>
        <v>771635539825.45471</v>
      </c>
      <c r="D64" s="416">
        <f>$B64*'Emissions Per VMT'!E65</f>
        <v>331442873.64398736</v>
      </c>
      <c r="E64" s="416">
        <f>$B64*'Emissions Per VMT'!F65</f>
        <v>7252139.3857133612</v>
      </c>
      <c r="F64" s="416">
        <f>$B64*'Emissions Per VMT'!G65</f>
        <v>4559674.1975697372</v>
      </c>
      <c r="H64" s="327">
        <v>2050</v>
      </c>
      <c r="I64" s="416">
        <f>'VMT to VOC Savings'!G32</f>
        <v>1102237131.6840658</v>
      </c>
      <c r="J64" s="416">
        <f>$I64*'Emissions Per VMT'!L65</f>
        <v>766885741857.34534</v>
      </c>
      <c r="K64" s="416">
        <f>$I64*'Emissions Per VMT'!M65</f>
        <v>325950099.91844547</v>
      </c>
      <c r="L64" s="416">
        <f>$I64*'Emissions Per VMT'!N65</f>
        <v>7199503.2156620035</v>
      </c>
      <c r="M64" s="416">
        <f>$I64*'Emissions Per VMT'!O65</f>
        <v>4321558.678231989</v>
      </c>
    </row>
    <row r="65" spans="1:13" s="245" customFormat="1">
      <c r="A65" s="327">
        <v>2051</v>
      </c>
      <c r="B65" s="416">
        <f>'VMT to VOC Savings'!C33</f>
        <v>1097959060.8644176</v>
      </c>
      <c r="C65" s="416">
        <f>$B65*'Emissions Per VMT'!D66</f>
        <v>762582832750.26135</v>
      </c>
      <c r="D65" s="416">
        <f>$B65*'Emissions Per VMT'!E66</f>
        <v>313390893.16643387</v>
      </c>
      <c r="E65" s="416">
        <f>$B65*'Emissions Per VMT'!F66</f>
        <v>7166355.5874189809</v>
      </c>
      <c r="F65" s="416">
        <f>$B65*'Emissions Per VMT'!G66</f>
        <v>4328127.3888326809</v>
      </c>
      <c r="H65" s="327">
        <v>2051</v>
      </c>
      <c r="I65" s="416">
        <f>'VMT to VOC Savings'!G33</f>
        <v>1102237131.6840658</v>
      </c>
      <c r="J65" s="416">
        <f>$I65*'Emissions Per VMT'!L66</f>
        <v>765554148786.20276</v>
      </c>
      <c r="K65" s="416">
        <f>$I65*'Emissions Per VMT'!M66</f>
        <v>314611984.62875426</v>
      </c>
      <c r="L65" s="416">
        <f>$I65*'Emissions Per VMT'!N66</f>
        <v>7194278.4652516237</v>
      </c>
      <c r="M65" s="416">
        <f>$I65*'Emissions Per VMT'!O66</f>
        <v>4344991.4379087081</v>
      </c>
    </row>
    <row r="66" spans="1:13" s="245" customFormat="1">
      <c r="A66" s="327">
        <v>2052</v>
      </c>
      <c r="B66" s="416">
        <f>'VMT to VOC Savings'!C34</f>
        <v>1097959060.8644176</v>
      </c>
      <c r="C66" s="416">
        <f>$B66*'Emissions Per VMT'!D67</f>
        <v>753636330614.00574</v>
      </c>
      <c r="D66" s="416">
        <f>$B66*'Emissions Per VMT'!E67</f>
        <v>296322110.77541405</v>
      </c>
      <c r="E66" s="416">
        <f>$B66*'Emissions Per VMT'!F67</f>
        <v>7081586.5048737628</v>
      </c>
      <c r="F66" s="416">
        <f>$B66*'Emissions Per VMT'!G67</f>
        <v>4108338.8598132604</v>
      </c>
      <c r="H66" s="327">
        <v>2052</v>
      </c>
      <c r="I66" s="416">
        <f>'VMT to VOC Savings'!G34</f>
        <v>1102237131.6840658</v>
      </c>
      <c r="J66" s="416">
        <f>$I66*'Emissions Per VMT'!L67</f>
        <v>756572787636.44531</v>
      </c>
      <c r="K66" s="416">
        <f>$I66*'Emissions Per VMT'!M67</f>
        <v>297476695.69620955</v>
      </c>
      <c r="L66" s="416">
        <f>$I66*'Emissions Per VMT'!N67</f>
        <v>7109179.089755265</v>
      </c>
      <c r="M66" s="416">
        <f>$I66*'Emissions Per VMT'!O67</f>
        <v>4124346.5282408581</v>
      </c>
    </row>
    <row r="67" spans="1:13">
      <c r="A67" s="138">
        <v>2053</v>
      </c>
      <c r="B67" s="411">
        <f>'VMT to VOC Savings'!C35</f>
        <v>1097959060.8644176</v>
      </c>
      <c r="C67" s="411">
        <f>$B67*'Emissions Per VMT'!D68</f>
        <v>744794787437.00867</v>
      </c>
      <c r="D67" s="411">
        <f>$B67*'Emissions Per VMT'!E68</f>
        <v>280182976.75218278</v>
      </c>
      <c r="E67" s="411">
        <f>$B67*'Emissions Per VMT'!F68</f>
        <v>6997820.1352511598</v>
      </c>
      <c r="F67" s="411">
        <f>$B67*'Emissions Per VMT'!G68</f>
        <v>3899711.508168878</v>
      </c>
      <c r="H67" s="138">
        <v>2053</v>
      </c>
      <c r="I67" s="411">
        <f>'VMT to VOC Savings'!G35</f>
        <v>1102237131.6840658</v>
      </c>
      <c r="J67" s="411">
        <f>$I67*'Emissions Per VMT'!L68</f>
        <v>747696794406.42322</v>
      </c>
      <c r="K67" s="411">
        <f>$I67*'Emissions Per VMT'!M68</f>
        <v>281274677.39907396</v>
      </c>
      <c r="L67" s="411">
        <f>$I67*'Emissions Per VMT'!N68</f>
        <v>7025086.3341367496</v>
      </c>
      <c r="M67" s="411">
        <f>$I67*'Emissions Per VMT'!O68</f>
        <v>3914906.2841881309</v>
      </c>
    </row>
    <row r="68" spans="1:13">
      <c r="A68" s="138">
        <v>2054</v>
      </c>
      <c r="B68" s="411">
        <f>'VMT to VOC Savings'!C36</f>
        <v>1097959060.8644176</v>
      </c>
      <c r="C68" s="411">
        <f>$B68*'Emissions Per VMT'!D69</f>
        <v>736056971857.22974</v>
      </c>
      <c r="D68" s="411">
        <f>$B68*'Emissions Per VMT'!E69</f>
        <v>264922857.95443782</v>
      </c>
      <c r="E68" s="411">
        <f>$B68*'Emissions Per VMT'!F69</f>
        <v>6915044.6177031491</v>
      </c>
      <c r="F68" s="411">
        <f>$B68*'Emissions Per VMT'!G69</f>
        <v>3701678.5532720238</v>
      </c>
      <c r="H68" s="138">
        <v>2054</v>
      </c>
      <c r="I68" s="411">
        <f>'VMT to VOC Savings'!G36</f>
        <v>1102237131.6840658</v>
      </c>
      <c r="J68" s="411">
        <f>$I68*'Emissions Per VMT'!L69</f>
        <v>738924932936.2356</v>
      </c>
      <c r="K68" s="411">
        <f>$I68*'Emissions Per VMT'!M69</f>
        <v>265955099.30884719</v>
      </c>
      <c r="L68" s="411">
        <f>$I68*'Emissions Per VMT'!N69</f>
        <v>6941988.2913336307</v>
      </c>
      <c r="M68" s="411">
        <f>$I68*'Emissions Per VMT'!O69</f>
        <v>3716101.7167276838</v>
      </c>
    </row>
    <row r="70" spans="1:13">
      <c r="C70" s="7"/>
      <c r="D70" s="7"/>
      <c r="E70" s="7"/>
      <c r="F70" s="7"/>
      <c r="J70" s="7"/>
      <c r="K70" s="7"/>
      <c r="L70" s="7"/>
      <c r="M70" s="7"/>
    </row>
    <row r="71" spans="1:13">
      <c r="C71" s="7"/>
      <c r="D71" s="7"/>
      <c r="E71" s="7"/>
      <c r="F71" s="7"/>
      <c r="G71" s="7"/>
      <c r="H71" s="7"/>
      <c r="I71" s="7"/>
      <c r="J71" s="7"/>
      <c r="K71" s="7"/>
      <c r="L71" s="7"/>
      <c r="M71" s="7"/>
    </row>
    <row r="72" spans="1:13">
      <c r="C72" s="7"/>
      <c r="D72" s="7"/>
      <c r="E72" s="7"/>
      <c r="F72" s="7"/>
      <c r="J72" s="7"/>
      <c r="K72" s="7"/>
      <c r="L72" s="7"/>
      <c r="M72" s="7"/>
    </row>
    <row r="73" spans="1:13">
      <c r="C73" s="7"/>
      <c r="D73" s="7"/>
      <c r="E73" s="7"/>
      <c r="F73" s="7"/>
      <c r="J73" s="7"/>
      <c r="K73" s="7"/>
      <c r="L73" s="7"/>
      <c r="M73" s="7"/>
    </row>
    <row r="74" spans="1:13">
      <c r="J74" s="7"/>
      <c r="K74" s="7"/>
      <c r="L74" s="7"/>
      <c r="M74" s="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E130"/>
  <sheetViews>
    <sheetView topLeftCell="G73" workbookViewId="0">
      <selection activeCell="V70" sqref="V70:AA74"/>
    </sheetView>
  </sheetViews>
  <sheetFormatPr defaultColWidth="9.109375" defaultRowHeight="14.4"/>
  <cols>
    <col min="1" max="1" width="12.5546875" style="245" bestFit="1" customWidth="1"/>
    <col min="2" max="2" width="14.88671875" style="277" bestFit="1" customWidth="1"/>
    <col min="3" max="3" width="16.88671875" style="277" bestFit="1" customWidth="1"/>
    <col min="4" max="4" width="12.6640625" style="277" bestFit="1" customWidth="1"/>
    <col min="5" max="5" width="11.6640625" style="277" bestFit="1" customWidth="1"/>
    <col min="6" max="6" width="12.5546875" style="277" bestFit="1" customWidth="1"/>
    <col min="7" max="7" width="9.109375" style="245"/>
    <col min="8" max="8" width="12.5546875" style="245" bestFit="1" customWidth="1"/>
    <col min="9" max="9" width="12.5546875" style="245" customWidth="1"/>
    <col min="10" max="10" width="13.109375" style="245" bestFit="1" customWidth="1"/>
    <col min="11" max="11" width="14.109375" style="245" customWidth="1"/>
    <col min="12" max="12" width="10" style="245" bestFit="1" customWidth="1"/>
    <col min="13" max="13" width="11.5546875" style="245" bestFit="1" customWidth="1"/>
    <col min="14" max="14" width="9.109375" style="245"/>
    <col min="15" max="15" width="13.33203125" style="245" customWidth="1"/>
    <col min="16" max="16" width="12.33203125" style="245" bestFit="1" customWidth="1"/>
    <col min="17" max="17" width="11.44140625" style="245" customWidth="1"/>
    <col min="18" max="29" width="9.109375" style="245"/>
    <col min="30" max="31" width="11.6640625" style="245" bestFit="1" customWidth="1"/>
    <col min="32" max="16384" width="9.109375" style="245"/>
  </cols>
  <sheetData>
    <row r="1" spans="1:20" ht="22.8">
      <c r="A1" s="425" t="str">
        <f>'Title Sheet'!$A$2</f>
        <v>Benefit-Cost Analysis Spreadsheet for the Illinois International Port - Calumet Bridges Rehabilitation Project</v>
      </c>
      <c r="B1" s="245"/>
      <c r="C1" s="245"/>
      <c r="D1" s="245"/>
      <c r="E1" s="245"/>
      <c r="F1" s="245"/>
    </row>
    <row r="2" spans="1:20">
      <c r="B2" s="245"/>
      <c r="C2" s="245"/>
      <c r="D2" s="245"/>
      <c r="E2" s="245"/>
      <c r="F2" s="245"/>
    </row>
    <row r="3" spans="1:20">
      <c r="A3" s="245" t="s">
        <v>161</v>
      </c>
      <c r="B3" s="500" t="s">
        <v>36</v>
      </c>
      <c r="C3" s="500"/>
      <c r="D3" s="500"/>
      <c r="E3" s="500"/>
      <c r="F3" s="500"/>
      <c r="H3" s="245" t="s">
        <v>161</v>
      </c>
      <c r="I3" s="501" t="s">
        <v>36</v>
      </c>
      <c r="J3" s="501"/>
      <c r="K3" s="501"/>
      <c r="L3" s="501"/>
      <c r="M3" s="501"/>
      <c r="O3" s="245" t="s">
        <v>161</v>
      </c>
      <c r="P3" s="264"/>
      <c r="Q3" s="264" t="s">
        <v>43</v>
      </c>
      <c r="R3" s="264"/>
    </row>
    <row r="4" spans="1:20" ht="15.6">
      <c r="A4" s="236" t="s">
        <v>3</v>
      </c>
      <c r="B4" s="426" t="s">
        <v>6</v>
      </c>
      <c r="C4" s="419" t="s">
        <v>27</v>
      </c>
      <c r="D4" s="420" t="s">
        <v>28</v>
      </c>
      <c r="E4" s="420" t="s">
        <v>29</v>
      </c>
      <c r="F4" s="421" t="s">
        <v>30</v>
      </c>
      <c r="H4" s="414" t="s">
        <v>2</v>
      </c>
      <c r="I4" s="423" t="s">
        <v>6</v>
      </c>
      <c r="J4" s="401" t="s">
        <v>27</v>
      </c>
      <c r="K4" s="401" t="s">
        <v>28</v>
      </c>
      <c r="L4" s="401" t="s">
        <v>29</v>
      </c>
      <c r="M4" s="401" t="s">
        <v>30</v>
      </c>
      <c r="O4" s="401" t="s">
        <v>1</v>
      </c>
      <c r="P4" s="423" t="s">
        <v>6</v>
      </c>
      <c r="Q4" s="401" t="s">
        <v>27</v>
      </c>
      <c r="R4" s="401" t="s">
        <v>28</v>
      </c>
      <c r="S4" s="401" t="s">
        <v>29</v>
      </c>
      <c r="T4" s="401" t="s">
        <v>30</v>
      </c>
    </row>
    <row r="5" spans="1:20">
      <c r="A5" s="245">
        <v>2025</v>
      </c>
      <c r="B5" s="427">
        <f t="shared" ref="B5:B8" si="0">SUM(C5:F5)</f>
        <v>20838621.04352897</v>
      </c>
      <c r="C5" s="427">
        <f>'Emissions Total'!C5*('Default Values'!B41/10000000)</f>
        <v>18349361.830582649</v>
      </c>
      <c r="D5" s="427">
        <f>'Emissions Total'!D5*('Default Values'!C41/10000000)</f>
        <v>1136716.7699069765</v>
      </c>
      <c r="E5" s="427">
        <f>'Emissions Total'!E5*('Default Values'!D41/10000000)</f>
        <v>145449.30835673594</v>
      </c>
      <c r="F5" s="427">
        <f>'Emissions Total'!F5*('Default Values'!E41/10000000)</f>
        <v>1207093.1346826095</v>
      </c>
      <c r="H5" s="327">
        <v>2025</v>
      </c>
      <c r="I5" s="430">
        <f t="shared" ref="I5:I8" si="1">SUM(J5:M5)</f>
        <v>20792980.483085338</v>
      </c>
      <c r="J5" s="430">
        <f>'Emissions Total'!J5*('Default Values'!B41/10000000)</f>
        <v>18309173.223285582</v>
      </c>
      <c r="K5" s="430">
        <f>'Emissions Total'!K5*('Default Values'!C41/10000000)</f>
        <v>1134227.1430580667</v>
      </c>
      <c r="L5" s="430">
        <f>'Emissions Total'!L5*('Default Values'!D41/10000000)</f>
        <v>145130.74658934865</v>
      </c>
      <c r="M5" s="430">
        <f>'Emissions Total'!M5*('Default Values'!E41/10000000)</f>
        <v>1204449.3701523417</v>
      </c>
      <c r="O5" s="327">
        <v>2025</v>
      </c>
      <c r="P5" s="429">
        <f t="shared" ref="P5:P8" si="2">SUM(Q5:T5)</f>
        <v>-45640.560443631461</v>
      </c>
      <c r="Q5" s="429">
        <f t="shared" ref="Q5:Q8" si="3">J5-C5</f>
        <v>-40188.607297066599</v>
      </c>
      <c r="R5" s="429">
        <f t="shared" ref="R5:R8" si="4">K5-D5</f>
        <v>-2489.6268489097711</v>
      </c>
      <c r="S5" s="429">
        <f t="shared" ref="S5:S8" si="5">L5-E5</f>
        <v>-318.56176738729118</v>
      </c>
      <c r="T5" s="429">
        <f t="shared" ref="T5:T8" si="6">M5-F5</f>
        <v>-2643.7645302677993</v>
      </c>
    </row>
    <row r="6" spans="1:20">
      <c r="A6" s="245">
        <v>2026</v>
      </c>
      <c r="B6" s="427">
        <f t="shared" si="0"/>
        <v>20928356.806336213</v>
      </c>
      <c r="C6" s="427">
        <f>'Emissions Total'!C6*('Default Values'!B42/10000000)</f>
        <v>18516055.549947698</v>
      </c>
      <c r="D6" s="427">
        <f>'Emissions Total'!D6*('Default Values'!C42/10000000)</f>
        <v>1097794.8037011337</v>
      </c>
      <c r="E6" s="427">
        <f>'Emissions Total'!E6*('Default Values'!D42/10000000)</f>
        <v>146750.50692751879</v>
      </c>
      <c r="F6" s="427">
        <f>'Emissions Total'!F6*('Default Values'!E42/10000000)</f>
        <v>1167755.9457598617</v>
      </c>
      <c r="H6" s="327">
        <v>2026</v>
      </c>
      <c r="I6" s="430">
        <f t="shared" si="1"/>
        <v>20880881.979060866</v>
      </c>
      <c r="J6" s="430">
        <f>'Emissions Total'!J6*('Default Values'!B42/10000000)</f>
        <v>18474052.895501919</v>
      </c>
      <c r="K6" s="430">
        <f>'Emissions Total'!K6*('Default Values'!C42/10000000)</f>
        <v>1095304.516519404</v>
      </c>
      <c r="L6" s="430">
        <f>'Emissions Total'!L6*('Default Values'!D42/10000000)</f>
        <v>146417.61146738194</v>
      </c>
      <c r="M6" s="430">
        <f>'Emissions Total'!M6*('Default Values'!E42/10000000)</f>
        <v>1165106.95557216</v>
      </c>
      <c r="O6" s="327">
        <v>2026</v>
      </c>
      <c r="P6" s="429">
        <f t="shared" si="2"/>
        <v>-47474.827275346877</v>
      </c>
      <c r="Q6" s="429">
        <f t="shared" si="3"/>
        <v>-42002.654445778579</v>
      </c>
      <c r="R6" s="429">
        <f t="shared" si="4"/>
        <v>-2490.2871817296837</v>
      </c>
      <c r="S6" s="429">
        <f t="shared" si="5"/>
        <v>-332.89546013684594</v>
      </c>
      <c r="T6" s="429">
        <f t="shared" si="6"/>
        <v>-2648.9901877017692</v>
      </c>
    </row>
    <row r="7" spans="1:20">
      <c r="A7" s="245">
        <v>2027</v>
      </c>
      <c r="B7" s="427">
        <f t="shared" si="0"/>
        <v>21015956.477581229</v>
      </c>
      <c r="C7" s="427">
        <f>'Emissions Total'!C7*('Default Values'!B43/10000000)</f>
        <v>18678512.815143317</v>
      </c>
      <c r="D7" s="427">
        <f>'Emissions Total'!D7*('Default Values'!C43/10000000)</f>
        <v>1059867.4767128767</v>
      </c>
      <c r="E7" s="427">
        <f>'Emissions Total'!E7*('Default Values'!D43/10000000)</f>
        <v>148017.97334846779</v>
      </c>
      <c r="F7" s="427">
        <f>'Emissions Total'!F7*('Default Values'!E43/10000000)</f>
        <v>1129558.2123765671</v>
      </c>
      <c r="H7" s="327">
        <v>2027</v>
      </c>
      <c r="I7" s="430">
        <f t="shared" si="1"/>
        <v>20966638.480844948</v>
      </c>
      <c r="J7" s="430">
        <f>'Emissions Total'!J7*('Default Values'!B43/10000000)</f>
        <v>18634680.080952112</v>
      </c>
      <c r="K7" s="430">
        <f>'Emissions Total'!K7*('Default Values'!C43/10000000)</f>
        <v>1057380.293185771</v>
      </c>
      <c r="L7" s="430">
        <f>'Emissions Total'!L7*('Default Values'!D43/10000000)</f>
        <v>147670.62061511504</v>
      </c>
      <c r="M7" s="430">
        <f>'Emissions Total'!M7*('Default Values'!E43/10000000)</f>
        <v>1126907.4860919535</v>
      </c>
      <c r="O7" s="327">
        <v>2027</v>
      </c>
      <c r="P7" s="429">
        <f t="shared" si="2"/>
        <v>-49317.996736277419</v>
      </c>
      <c r="Q7" s="429">
        <f t="shared" si="3"/>
        <v>-43832.734191205353</v>
      </c>
      <c r="R7" s="429">
        <f t="shared" si="4"/>
        <v>-2487.1835271057207</v>
      </c>
      <c r="S7" s="429">
        <f t="shared" si="5"/>
        <v>-347.35273335274542</v>
      </c>
      <c r="T7" s="429">
        <f t="shared" si="6"/>
        <v>-2650.7262846136</v>
      </c>
    </row>
    <row r="8" spans="1:20">
      <c r="A8" s="245">
        <v>2028</v>
      </c>
      <c r="B8" s="427">
        <f t="shared" si="0"/>
        <v>21420984.044212874</v>
      </c>
      <c r="C8" s="427">
        <f>'Emissions Total'!C8*('Default Values'!B44/10000000)</f>
        <v>19156061.96929526</v>
      </c>
      <c r="D8" s="427">
        <f>'Emissions Total'!D8*('Default Values'!C44/10000000)</f>
        <v>1022935.5444103618</v>
      </c>
      <c r="E8" s="427">
        <f>'Emissions Total'!E8*('Default Values'!D44/10000000)</f>
        <v>149252.19678870382</v>
      </c>
      <c r="F8" s="427">
        <f>'Emissions Total'!F8*('Default Values'!E44/10000000)</f>
        <v>1092734.3337185499</v>
      </c>
      <c r="H8" s="327">
        <v>2028</v>
      </c>
      <c r="I8" s="430">
        <f t="shared" si="1"/>
        <v>21369039.556621224</v>
      </c>
      <c r="J8" s="430">
        <f>'Emissions Total'!J8*('Default Values'!B44/10000000)</f>
        <v>19109609.769843768</v>
      </c>
      <c r="K8" s="430">
        <f>'Emissions Total'!K8*('Default Values'!C44/10000000)</f>
        <v>1020454.9925092906</v>
      </c>
      <c r="L8" s="430">
        <f>'Emissions Total'!L8*('Default Values'!D44/10000000)</f>
        <v>148890.26995713919</v>
      </c>
      <c r="M8" s="430">
        <f>'Emissions Total'!M8*('Default Values'!E44/10000000)</f>
        <v>1090084.524311024</v>
      </c>
      <c r="O8" s="327">
        <v>2028</v>
      </c>
      <c r="P8" s="429">
        <f t="shared" si="2"/>
        <v>-51944.487591653015</v>
      </c>
      <c r="Q8" s="429">
        <f t="shared" si="3"/>
        <v>-46452.199451491237</v>
      </c>
      <c r="R8" s="429">
        <f t="shared" si="4"/>
        <v>-2480.551901071216</v>
      </c>
      <c r="S8" s="429">
        <f t="shared" si="5"/>
        <v>-361.92683156463318</v>
      </c>
      <c r="T8" s="429">
        <f t="shared" si="6"/>
        <v>-2649.8094075259287</v>
      </c>
    </row>
    <row r="9" spans="1:20">
      <c r="A9" s="245">
        <v>2029</v>
      </c>
      <c r="B9" s="427">
        <f t="shared" ref="B9:B28" si="7">SUM(C9:F9)</f>
        <v>21502337.14319326</v>
      </c>
      <c r="C9" s="427">
        <f>'Emissions Total'!C9*('Default Values'!B45/10000000)</f>
        <v>19307475.824040804</v>
      </c>
      <c r="D9" s="427">
        <f>'Emissions Total'!D9*('Default Values'!C45/10000000)</f>
        <v>986997.04783118097</v>
      </c>
      <c r="E9" s="427">
        <f>'Emissions Total'!E9*('Default Values'!D45/10000000)</f>
        <v>150766.45392560729</v>
      </c>
      <c r="F9" s="427">
        <f>'Emissions Total'!F9*('Default Values'!E45/10000000)</f>
        <v>1057097.8173956687</v>
      </c>
      <c r="H9" s="327">
        <v>2029</v>
      </c>
      <c r="I9" s="430">
        <f t="shared" ref="I9:I28" si="8">SUM(J9:M9)</f>
        <v>21448513.13085752</v>
      </c>
      <c r="J9" s="430">
        <f>'Emissions Total'!J9*('Default Values'!B45/10000000)</f>
        <v>19259145.923434898</v>
      </c>
      <c r="K9" s="430">
        <f>'Emissions Total'!K9*('Default Values'!C45/10000000)</f>
        <v>984526.42610648042</v>
      </c>
      <c r="L9" s="430">
        <f>'Emissions Total'!L9*('Default Values'!D45/10000000)</f>
        <v>150389.05981156899</v>
      </c>
      <c r="M9" s="430">
        <f>'Emissions Total'!M9*('Default Values'!E45/10000000)</f>
        <v>1054451.7215045716</v>
      </c>
      <c r="O9" s="327">
        <v>2029</v>
      </c>
      <c r="P9" s="429">
        <f t="shared" ref="P9:P15" si="9">SUM(Q9:T9)</f>
        <v>-53824.012335741747</v>
      </c>
      <c r="Q9" s="429">
        <f t="shared" ref="Q9:T15" si="10">J9-C9</f>
        <v>-48329.900605905801</v>
      </c>
      <c r="R9" s="429">
        <f t="shared" si="10"/>
        <v>-2470.6217247005552</v>
      </c>
      <c r="S9" s="429">
        <f t="shared" si="10"/>
        <v>-377.39411403829581</v>
      </c>
      <c r="T9" s="429">
        <f t="shared" si="10"/>
        <v>-2646.0958910970949</v>
      </c>
    </row>
    <row r="10" spans="1:20">
      <c r="A10" s="245">
        <v>2030</v>
      </c>
      <c r="B10" s="427">
        <f t="shared" si="7"/>
        <v>21587043.855325509</v>
      </c>
      <c r="C10" s="427">
        <f>'Emissions Total'!C10*('Default Values'!B46/10000000)</f>
        <v>19454856.688021079</v>
      </c>
      <c r="D10" s="427">
        <f>'Emissions Total'!D10*('Default Values'!C46/10000000)</f>
        <v>957336.74437604484</v>
      </c>
      <c r="E10" s="427">
        <f>'Emissions Total'!E10*('Default Values'!D46/10000000)</f>
        <v>152242.975968924</v>
      </c>
      <c r="F10" s="427">
        <f>'Emissions Total'!F10*('Default Values'!E46/10000000)</f>
        <v>1022607.4469594632</v>
      </c>
      <c r="H10" s="327">
        <v>2030</v>
      </c>
      <c r="I10" s="430">
        <f t="shared" si="8"/>
        <v>21531319.06423904</v>
      </c>
      <c r="J10" s="430">
        <f>'Emissions Total'!J10*('Default Values'!B46/10000000)</f>
        <v>19404635.924500939</v>
      </c>
      <c r="K10" s="430">
        <f>'Emissions Total'!K10*('Default Values'!C46/10000000)</f>
        <v>954865.47547802946</v>
      </c>
      <c r="L10" s="430">
        <f>'Emissions Total'!L10*('Default Values'!D46/10000000)</f>
        <v>151849.97597841543</v>
      </c>
      <c r="M10" s="430">
        <f>'Emissions Total'!M10*('Default Values'!E46/10000000)</f>
        <v>1019967.6882816566</v>
      </c>
      <c r="O10" s="327">
        <v>2030</v>
      </c>
      <c r="P10" s="429">
        <f t="shared" si="9"/>
        <v>-55724.791086470737</v>
      </c>
      <c r="Q10" s="429">
        <f t="shared" si="10"/>
        <v>-50220.763520140201</v>
      </c>
      <c r="R10" s="429">
        <f t="shared" si="10"/>
        <v>-2471.2688980153762</v>
      </c>
      <c r="S10" s="429">
        <f t="shared" si="10"/>
        <v>-392.9999905085715</v>
      </c>
      <c r="T10" s="429">
        <f t="shared" si="10"/>
        <v>-2639.7586778065888</v>
      </c>
    </row>
    <row r="11" spans="1:20">
      <c r="A11" s="245">
        <v>2031</v>
      </c>
      <c r="B11" s="427">
        <f t="shared" si="7"/>
        <v>21630961.398233797</v>
      </c>
      <c r="C11" s="427">
        <f>'Emissions Total'!C11*('Default Values'!B47/10000000)</f>
        <v>19598262.832698833</v>
      </c>
      <c r="D11" s="427">
        <f>'Emissions Total'!D11*('Default Values'!C47/10000000)</f>
        <v>908046.9297865316</v>
      </c>
      <c r="E11" s="427">
        <f>'Emissions Total'!E11*('Default Values'!D47/10000000)</f>
        <v>150916.02417910937</v>
      </c>
      <c r="F11" s="427">
        <f>'Emissions Total'!F11*('Default Values'!E47/10000000)</f>
        <v>973735.61156932393</v>
      </c>
      <c r="H11" s="327">
        <v>2031</v>
      </c>
      <c r="I11" s="430">
        <f t="shared" si="8"/>
        <v>21573431.192051303</v>
      </c>
      <c r="J11" s="430">
        <f>'Emissions Total'!J11*('Default Values'!B47/10000000)</f>
        <v>19546138.838724345</v>
      </c>
      <c r="K11" s="430">
        <f>'Emissions Total'!K11*('Default Values'!C47/10000000)</f>
        <v>905631.86713017337</v>
      </c>
      <c r="L11" s="430">
        <f>'Emissions Total'!L11*('Default Values'!D47/10000000)</f>
        <v>150514.64442407107</v>
      </c>
      <c r="M11" s="430">
        <f>'Emissions Total'!M11*('Default Values'!E47/10000000)</f>
        <v>971145.8417727123</v>
      </c>
      <c r="O11" s="327">
        <v>2031</v>
      </c>
      <c r="P11" s="429">
        <f t="shared" si="9"/>
        <v>-57530.206182496389</v>
      </c>
      <c r="Q11" s="429">
        <f t="shared" si="10"/>
        <v>-52123.993974488229</v>
      </c>
      <c r="R11" s="429">
        <f t="shared" si="10"/>
        <v>-2415.0626563582337</v>
      </c>
      <c r="S11" s="429">
        <f t="shared" si="10"/>
        <v>-401.37975503830239</v>
      </c>
      <c r="T11" s="429">
        <f t="shared" si="10"/>
        <v>-2589.7697966116248</v>
      </c>
    </row>
    <row r="12" spans="1:20">
      <c r="A12" s="245">
        <v>2032</v>
      </c>
      <c r="B12" s="427">
        <f t="shared" si="7"/>
        <v>21675846.761996977</v>
      </c>
      <c r="C12" s="427">
        <f>'Emissions Total'!C12*('Default Values'!B48/10000000)</f>
        <v>19737751.824662492</v>
      </c>
      <c r="D12" s="427">
        <f>'Emissions Total'!D12*('Default Values'!C48/10000000)</f>
        <v>861294.86989675253</v>
      </c>
      <c r="E12" s="427">
        <f>'Emissions Total'!E12*('Default Values'!D48/10000000)</f>
        <v>149600.63811862507</v>
      </c>
      <c r="F12" s="427">
        <f>'Emissions Total'!F12*('Default Values'!E48/10000000)</f>
        <v>927199.42931910919</v>
      </c>
      <c r="H12" s="327">
        <v>2032</v>
      </c>
      <c r="I12" s="430">
        <f t="shared" si="8"/>
        <v>21616501.753193907</v>
      </c>
      <c r="J12" s="430">
        <f>'Emissions Total'!J12*('Default Values'!B48/10000000)</f>
        <v>19683713.010463037</v>
      </c>
      <c r="K12" s="430">
        <f>'Emissions Total'!K12*('Default Values'!C48/10000000)</f>
        <v>858936.78201223782</v>
      </c>
      <c r="L12" s="430">
        <f>'Emissions Total'!L12*('Default Values'!D48/10000000)</f>
        <v>149191.0554488647</v>
      </c>
      <c r="M12" s="430">
        <f>'Emissions Total'!M12*('Default Values'!E48/10000000)</f>
        <v>924660.90526976879</v>
      </c>
      <c r="O12" s="327">
        <v>2032</v>
      </c>
      <c r="P12" s="429">
        <f t="shared" si="9"/>
        <v>-59345.008803070552</v>
      </c>
      <c r="Q12" s="429">
        <f t="shared" si="10"/>
        <v>-54038.814199455082</v>
      </c>
      <c r="R12" s="429">
        <f t="shared" si="10"/>
        <v>-2358.087884514709</v>
      </c>
      <c r="S12" s="429">
        <f t="shared" si="10"/>
        <v>-409.58266976036248</v>
      </c>
      <c r="T12" s="429">
        <f t="shared" si="10"/>
        <v>-2538.5240493403981</v>
      </c>
    </row>
    <row r="13" spans="1:20">
      <c r="A13" s="245">
        <v>2033</v>
      </c>
      <c r="B13" s="427">
        <f t="shared" si="7"/>
        <v>21721514.431391932</v>
      </c>
      <c r="C13" s="427">
        <f>'Emissions Total'!C13*('Default Values'!B49/10000000)</f>
        <v>19873380.533447862</v>
      </c>
      <c r="D13" s="427">
        <f>'Emissions Total'!D13*('Default Values'!C49/10000000)</f>
        <v>816949.90487425262</v>
      </c>
      <c r="E13" s="427">
        <f>'Emissions Total'!E13*('Default Values'!D49/10000000)</f>
        <v>148296.71698042136</v>
      </c>
      <c r="F13" s="427">
        <f>'Emissions Total'!F13*('Default Values'!E49/10000000)</f>
        <v>882887.27608939505</v>
      </c>
      <c r="H13" s="327">
        <v>2033</v>
      </c>
      <c r="I13" s="430">
        <f t="shared" si="8"/>
        <v>21660345.528578997</v>
      </c>
      <c r="J13" s="430">
        <f>'Emissions Total'!J13*('Default Values'!B49/10000000)</f>
        <v>19817416.070829265</v>
      </c>
      <c r="K13" s="430">
        <f>'Emissions Total'!K13*('Default Values'!C49/10000000)</f>
        <v>814649.33188740478</v>
      </c>
      <c r="L13" s="430">
        <f>'Emissions Total'!L13*('Default Values'!D49/10000000)</f>
        <v>147879.10579142696</v>
      </c>
      <c r="M13" s="430">
        <f>'Emissions Total'!M13*('Default Values'!E49/10000000)</f>
        <v>880401.02007089951</v>
      </c>
      <c r="O13" s="327">
        <v>2033</v>
      </c>
      <c r="P13" s="429">
        <f t="shared" si="9"/>
        <v>-61168.902812934626</v>
      </c>
      <c r="Q13" s="429">
        <f t="shared" si="10"/>
        <v>-55964.462618596852</v>
      </c>
      <c r="R13" s="429">
        <f t="shared" si="10"/>
        <v>-2300.5729868478375</v>
      </c>
      <c r="S13" s="429">
        <f t="shared" si="10"/>
        <v>-417.61118899440044</v>
      </c>
      <c r="T13" s="429">
        <f t="shared" si="10"/>
        <v>-2486.2560184955364</v>
      </c>
    </row>
    <row r="14" spans="1:20">
      <c r="A14" s="245">
        <v>2034</v>
      </c>
      <c r="B14" s="427">
        <f t="shared" si="7"/>
        <v>21767790.264636386</v>
      </c>
      <c r="C14" s="427">
        <f>'Emissions Total'!C14*('Default Values'!B50/10000000)</f>
        <v>20005205.139277387</v>
      </c>
      <c r="D14" s="427">
        <f>'Emissions Total'!D14*('Default Values'!C50/10000000)</f>
        <v>774888.10208988644</v>
      </c>
      <c r="E14" s="427">
        <f>'Emissions Total'!E14*('Default Values'!D50/10000000)</f>
        <v>147004.16083608422</v>
      </c>
      <c r="F14" s="427">
        <f>'Emissions Total'!F14*('Default Values'!E50/10000000)</f>
        <v>840692.86243302794</v>
      </c>
      <c r="H14" s="327">
        <v>2034</v>
      </c>
      <c r="I14" s="430">
        <f t="shared" si="8"/>
        <v>21704788.697710309</v>
      </c>
      <c r="J14" s="430">
        <f>'Emissions Total'!J14*('Default Values'!B50/10000000)</f>
        <v>19947304.945682652</v>
      </c>
      <c r="K14" s="430">
        <f>'Emissions Total'!K14*('Default Values'!C50/10000000)</f>
        <v>772645.37721838919</v>
      </c>
      <c r="L14" s="430">
        <f>'Emissions Total'!L14*('Default Values'!D50/10000000)</f>
        <v>146578.69309844379</v>
      </c>
      <c r="M14" s="430">
        <f>'Emissions Total'!M14*('Default Values'!E50/10000000)</f>
        <v>838259.681710826</v>
      </c>
      <c r="O14" s="327">
        <v>2034</v>
      </c>
      <c r="P14" s="429">
        <f t="shared" si="9"/>
        <v>-63001.566926074738</v>
      </c>
      <c r="Q14" s="429">
        <f t="shared" si="10"/>
        <v>-57900.193594735116</v>
      </c>
      <c r="R14" s="429">
        <f t="shared" si="10"/>
        <v>-2242.724871497252</v>
      </c>
      <c r="S14" s="429">
        <f t="shared" si="10"/>
        <v>-425.46773764042882</v>
      </c>
      <c r="T14" s="429">
        <f t="shared" si="10"/>
        <v>-2433.1807222019415</v>
      </c>
    </row>
    <row r="15" spans="1:20">
      <c r="A15" s="245">
        <v>2035</v>
      </c>
      <c r="B15" s="427">
        <f t="shared" si="7"/>
        <v>22165219.406380288</v>
      </c>
      <c r="C15" s="427">
        <f>'Emissions Total'!C15*('Default Values'!B51/10000000)</f>
        <v>20423154.720345695</v>
      </c>
      <c r="D15" s="427">
        <f>'Emissions Total'!D15*('Default Values'!C51/10000000)</f>
        <v>742459.17154113646</v>
      </c>
      <c r="E15" s="427">
        <f>'Emissions Total'!E15*('Default Values'!D51/10000000)</f>
        <v>145722.87062817701</v>
      </c>
      <c r="F15" s="427">
        <f>'Emissions Total'!F15*('Default Values'!E51/10000000)</f>
        <v>853882.64386527904</v>
      </c>
      <c r="H15" s="327">
        <v>2035</v>
      </c>
      <c r="I15" s="430">
        <f t="shared" si="8"/>
        <v>22099334.283639789</v>
      </c>
      <c r="J15" s="430">
        <f>'Emissions Total'!J15*('Default Values'!B51/10000000)</f>
        <v>20362447.806922998</v>
      </c>
      <c r="K15" s="430">
        <f>'Emissions Total'!K15*('Default Values'!C51/10000000)</f>
        <v>740252.24488050002</v>
      </c>
      <c r="L15" s="430">
        <f>'Emissions Total'!L15*('Default Values'!D51/10000000)</f>
        <v>145289.71591667112</v>
      </c>
      <c r="M15" s="430">
        <f>'Emissions Total'!M15*('Default Values'!E51/10000000)</f>
        <v>851344.51591961784</v>
      </c>
      <c r="O15" s="327">
        <v>2035</v>
      </c>
      <c r="P15" s="429">
        <f t="shared" si="9"/>
        <v>-65885.122740499821</v>
      </c>
      <c r="Q15" s="429">
        <f t="shared" si="10"/>
        <v>-60706.913422696292</v>
      </c>
      <c r="R15" s="429">
        <f t="shared" si="10"/>
        <v>-2206.9266606364399</v>
      </c>
      <c r="S15" s="429">
        <f t="shared" si="10"/>
        <v>-433.15471150589292</v>
      </c>
      <c r="T15" s="429">
        <f t="shared" si="10"/>
        <v>-2538.1279456611956</v>
      </c>
    </row>
    <row r="16" spans="1:20">
      <c r="A16" s="245">
        <v>2036</v>
      </c>
      <c r="B16" s="427">
        <f t="shared" si="7"/>
        <v>22513283.538268514</v>
      </c>
      <c r="C16" s="427">
        <f>'Emissions Total'!C16*('Default Values'!B52/10000000)</f>
        <v>20851523.760261323</v>
      </c>
      <c r="D16" s="427">
        <f>'Emissions Total'!D16*('Default Values'!C52/10000000)</f>
        <v>704232.62782960501</v>
      </c>
      <c r="E16" s="427">
        <f>'Emissions Total'!E16*('Default Values'!D52/10000000)</f>
        <v>144452.74816264893</v>
      </c>
      <c r="F16" s="427">
        <f>'Emissions Total'!F16*('Default Values'!E52/10000000)</f>
        <v>813074.402014939</v>
      </c>
      <c r="H16" s="327">
        <v>2036</v>
      </c>
      <c r="I16" s="430">
        <f t="shared" si="8"/>
        <v>22444603.43637269</v>
      </c>
      <c r="J16" s="430">
        <f>'Emissions Total'!J16*('Default Values'!B52/10000000)</f>
        <v>20787913.10239777</v>
      </c>
      <c r="K16" s="430">
        <f>'Emissions Total'!K16*('Default Values'!C52/10000000)</f>
        <v>702084.26201901655</v>
      </c>
      <c r="L16" s="430">
        <f>'Emissions Total'!L16*('Default Values'!D52/10000000)</f>
        <v>144012.0736850198</v>
      </c>
      <c r="M16" s="430">
        <f>'Emissions Total'!M16*('Default Values'!E52/10000000)</f>
        <v>810593.99827088497</v>
      </c>
      <c r="O16" s="327">
        <v>2036</v>
      </c>
      <c r="P16" s="429">
        <f t="shared" ref="P16:P17" si="11">SUM(Q16:T16)</f>
        <v>-68680.101895825239</v>
      </c>
      <c r="Q16" s="429">
        <f t="shared" ref="Q16:Q17" si="12">J16-C16</f>
        <v>-63610.657863553613</v>
      </c>
      <c r="R16" s="429">
        <f t="shared" ref="R16:R17" si="13">K16-D16</f>
        <v>-2148.3658105884679</v>
      </c>
      <c r="S16" s="429">
        <f t="shared" ref="S16:S17" si="14">L16-E16</f>
        <v>-440.67447762913071</v>
      </c>
      <c r="T16" s="429">
        <f t="shared" ref="T16:T17" si="15">M16-F16</f>
        <v>-2480.4037440540269</v>
      </c>
    </row>
    <row r="17" spans="1:20">
      <c r="A17" s="245">
        <v>2037</v>
      </c>
      <c r="B17" s="427">
        <f t="shared" si="7"/>
        <v>22556784.584414821</v>
      </c>
      <c r="C17" s="427">
        <f>'Emissions Total'!C17*('Default Values'!B53/10000000)</f>
        <v>20971400.21446465</v>
      </c>
      <c r="D17" s="427">
        <f>'Emissions Total'!D17*('Default Values'!C53/10000000)</f>
        <v>667974.23092013469</v>
      </c>
      <c r="E17" s="427">
        <f>'Emissions Total'!E17*('Default Values'!D53/10000000)</f>
        <v>143193.69610130985</v>
      </c>
      <c r="F17" s="427">
        <f>'Emissions Total'!F17*('Default Values'!E53/10000000)</f>
        <v>774216.44292872376</v>
      </c>
      <c r="H17" s="327">
        <v>2037</v>
      </c>
      <c r="I17" s="430">
        <f t="shared" si="8"/>
        <v>22486208.138904408</v>
      </c>
      <c r="J17" s="430">
        <f>'Emissions Total'!J17*('Default Values'!B53/10000000)</f>
        <v>20905784.174245164</v>
      </c>
      <c r="K17" s="430">
        <f>'Emissions Total'!K17*('Default Values'!C53/10000000)</f>
        <v>665884.25011039351</v>
      </c>
      <c r="L17" s="430">
        <f>'Emissions Total'!L17*('Default Values'!D53/10000000)</f>
        <v>142745.66672671045</v>
      </c>
      <c r="M17" s="430">
        <f>'Emissions Total'!M17*('Default Values'!E53/10000000)</f>
        <v>771794.04782213655</v>
      </c>
      <c r="O17" s="327">
        <v>2037</v>
      </c>
      <c r="P17" s="429">
        <f t="shared" si="11"/>
        <v>-70576.445510413556</v>
      </c>
      <c r="Q17" s="429">
        <f t="shared" si="12"/>
        <v>-65616.04021948576</v>
      </c>
      <c r="R17" s="429">
        <f t="shared" si="13"/>
        <v>-2089.9808097411878</v>
      </c>
      <c r="S17" s="429">
        <f t="shared" si="14"/>
        <v>-448.02937459939858</v>
      </c>
      <c r="T17" s="429">
        <f t="shared" si="15"/>
        <v>-2422.3951065872097</v>
      </c>
    </row>
    <row r="18" spans="1:20">
      <c r="A18" s="245">
        <v>2038</v>
      </c>
      <c r="B18" s="427">
        <f t="shared" si="7"/>
        <v>22897414.502396889</v>
      </c>
      <c r="C18" s="427">
        <f>'Emissions Total'!C18*('Default Values'!B54/10000000)</f>
        <v>21384670.676532257</v>
      </c>
      <c r="D18" s="427">
        <f>'Emissions Total'!D18*('Default Values'!C54/10000000)</f>
        <v>633582.64803559298</v>
      </c>
      <c r="E18" s="427">
        <f>'Emissions Total'!E18*('Default Values'!D54/10000000)</f>
        <v>141945.61795437068</v>
      </c>
      <c r="F18" s="427">
        <f>'Emissions Total'!F18*('Default Values'!E54/10000000)</f>
        <v>737215.55987466988</v>
      </c>
      <c r="H18" s="327">
        <v>2038</v>
      </c>
      <c r="I18" s="430">
        <f t="shared" si="8"/>
        <v>22823982.152738068</v>
      </c>
      <c r="J18" s="430">
        <f>'Emissions Total'!J18*('Default Values'!B54/10000000)</f>
        <v>21316089.718874637</v>
      </c>
      <c r="K18" s="430">
        <f>'Emissions Total'!K18*('Default Values'!C54/10000000)</f>
        <v>631550.73903803155</v>
      </c>
      <c r="L18" s="430">
        <f>'Emissions Total'!L18*('Default Values'!D54/10000000)</f>
        <v>141490.39624149687</v>
      </c>
      <c r="M18" s="430">
        <f>'Emissions Total'!M18*('Default Values'!E54/10000000)</f>
        <v>734851.29858390382</v>
      </c>
      <c r="O18" s="327">
        <v>2038</v>
      </c>
      <c r="P18" s="429">
        <f t="shared" ref="P18" si="16">SUM(Q18:T18)</f>
        <v>-73432.349658821622</v>
      </c>
      <c r="Q18" s="429">
        <f t="shared" ref="Q18" si="17">J18-C18</f>
        <v>-68580.957657620311</v>
      </c>
      <c r="R18" s="429">
        <f t="shared" ref="R18" si="18">K18-D18</f>
        <v>-2031.9089975614334</v>
      </c>
      <c r="S18" s="429">
        <f t="shared" ref="S18" si="19">L18-E18</f>
        <v>-455.22171287381207</v>
      </c>
      <c r="T18" s="429">
        <f t="shared" ref="T18" si="20">M18-F18</f>
        <v>-2364.2612907660659</v>
      </c>
    </row>
    <row r="19" spans="1:20">
      <c r="A19" s="245">
        <v>2039</v>
      </c>
      <c r="B19" s="427">
        <f t="shared" si="7"/>
        <v>22644013.798255753</v>
      </c>
      <c r="C19" s="427">
        <f>'Emissions Total'!C19*('Default Values'!B55/10000000)</f>
        <v>21200360.61592434</v>
      </c>
      <c r="D19" s="427">
        <f>'Emissions Total'!D19*('Default Values'!C55/10000000)</f>
        <v>600961.76365790085</v>
      </c>
      <c r="E19" s="427">
        <f>'Emissions Total'!E19*('Default Values'!D55/10000000)</f>
        <v>140708.41807304847</v>
      </c>
      <c r="F19" s="427">
        <f>'Emissions Total'!F19*('Default Values'!E55/10000000)</f>
        <v>701983.00060046359</v>
      </c>
      <c r="H19" s="327">
        <v>2039</v>
      </c>
      <c r="I19" s="430">
        <f t="shared" si="8"/>
        <v>22569623.928731307</v>
      </c>
      <c r="J19" s="430">
        <f>'Emissions Total'!J19*('Default Values'!B55/10000000)</f>
        <v>21130713.420239832</v>
      </c>
      <c r="K19" s="430">
        <f>'Emissions Total'!K19*('Default Values'!C55/10000000)</f>
        <v>598987.49056365225</v>
      </c>
      <c r="L19" s="430">
        <f>'Emissions Total'!L19*('Default Values'!D55/10000000)</f>
        <v>140246.16429795796</v>
      </c>
      <c r="M19" s="430">
        <f>'Emissions Total'!M19*('Default Values'!E55/10000000)</f>
        <v>699676.85362986475</v>
      </c>
      <c r="O19" s="327">
        <v>2039</v>
      </c>
      <c r="P19" s="429">
        <f t="shared" ref="P19:P28" si="21">SUM(Q19:T19)</f>
        <v>-74389.869524445443</v>
      </c>
      <c r="Q19" s="429">
        <f t="shared" ref="Q19:Q28" si="22">J19-C19</f>
        <v>-69647.195684507489</v>
      </c>
      <c r="R19" s="429">
        <f t="shared" ref="R19:R28" si="23">K19-D19</f>
        <v>-1974.2730942486087</v>
      </c>
      <c r="S19" s="429">
        <f t="shared" ref="S19:S28" si="24">L19-E19</f>
        <v>-462.25377509050304</v>
      </c>
      <c r="T19" s="429">
        <f t="shared" ref="T19:T28" si="25">M19-F19</f>
        <v>-2306.146970598842</v>
      </c>
    </row>
    <row r="20" spans="1:20">
      <c r="A20" s="245">
        <v>2040</v>
      </c>
      <c r="B20" s="427">
        <f t="shared" si="7"/>
        <v>22687487.406636301</v>
      </c>
      <c r="C20" s="427">
        <f>'Emissions Total'!C20*('Default Values'!B56/10000000)</f>
        <v>21309550.739636231</v>
      </c>
      <c r="D20" s="427">
        <f>'Emissions Total'!D20*('Default Values'!C56/10000000)</f>
        <v>570020.4109101895</v>
      </c>
      <c r="E20" s="427">
        <f>'Emissions Total'!E20*('Default Values'!D56/10000000)</f>
        <v>139482.0016422364</v>
      </c>
      <c r="F20" s="427">
        <f>'Emissions Total'!F20*('Default Values'!E56/10000000)</f>
        <v>668434.25444764807</v>
      </c>
      <c r="H20" s="327">
        <v>2040</v>
      </c>
      <c r="I20" s="430">
        <f t="shared" si="8"/>
        <v>22611181.278957602</v>
      </c>
      <c r="J20" s="430">
        <f>'Emissions Total'!J20*('Default Values'!B56/10000000)</f>
        <v>21237879.105383825</v>
      </c>
      <c r="K20" s="430">
        <f>'Emissions Total'!K20*('Default Values'!C56/10000000)</f>
        <v>568103.22856757103</v>
      </c>
      <c r="L20" s="430">
        <f>'Emissions Total'!L20*('Default Values'!D56/10000000)</f>
        <v>139012.87382585774</v>
      </c>
      <c r="M20" s="430">
        <f>'Emissions Total'!M20*('Default Values'!E56/10000000)</f>
        <v>666186.07118034712</v>
      </c>
      <c r="O20" s="327">
        <v>2040</v>
      </c>
      <c r="P20" s="429">
        <f t="shared" si="21"/>
        <v>-76306.127678704739</v>
      </c>
      <c r="Q20" s="429">
        <f t="shared" si="22"/>
        <v>-71671.634252406657</v>
      </c>
      <c r="R20" s="429">
        <f t="shared" si="23"/>
        <v>-1917.182342618471</v>
      </c>
      <c r="S20" s="429">
        <f t="shared" si="24"/>
        <v>-469.12781637866283</v>
      </c>
      <c r="T20" s="429">
        <f t="shared" si="25"/>
        <v>-2248.1832673009485</v>
      </c>
    </row>
    <row r="21" spans="1:20">
      <c r="A21" s="245">
        <v>2041</v>
      </c>
      <c r="B21" s="427">
        <f t="shared" si="7"/>
        <v>22730711.091036472</v>
      </c>
      <c r="C21" s="427">
        <f>'Emissions Total'!C21*('Default Values'!B57/10000000)</f>
        <v>21415283.849954173</v>
      </c>
      <c r="D21" s="427">
        <f>'Emissions Total'!D21*('Default Values'!C57/10000000)</f>
        <v>540672.11676912068</v>
      </c>
      <c r="E21" s="427">
        <f>'Emissions Total'!E21*('Default Values'!D57/10000000)</f>
        <v>138266.27467323738</v>
      </c>
      <c r="F21" s="427">
        <f>'Emissions Total'!F21*('Default Values'!E57/10000000)</f>
        <v>636488.84963994112</v>
      </c>
      <c r="H21" s="327">
        <v>2041</v>
      </c>
      <c r="I21" s="430">
        <f t="shared" si="8"/>
        <v>22652482.908167757</v>
      </c>
      <c r="J21" s="430">
        <f>'Emissions Total'!J21*('Default Values'!B57/10000000)</f>
        <v>21341582.735436015</v>
      </c>
      <c r="K21" s="430">
        <f>'Emissions Total'!K21*('Default Values'!C57/10000000)</f>
        <v>538811.38319799583</v>
      </c>
      <c r="L21" s="430">
        <f>'Emissions Total'!L21*('Default Values'!D57/10000000)</f>
        <v>137790.42860857208</v>
      </c>
      <c r="M21" s="430">
        <f>'Emissions Total'!M21*('Default Values'!E57/10000000)</f>
        <v>634298.36092517467</v>
      </c>
      <c r="O21" s="327">
        <v>2041</v>
      </c>
      <c r="P21" s="429">
        <f t="shared" si="21"/>
        <v>-78228.182868714735</v>
      </c>
      <c r="Q21" s="429">
        <f t="shared" si="22"/>
        <v>-73701.114518158138</v>
      </c>
      <c r="R21" s="429">
        <f t="shared" si="23"/>
        <v>-1860.7335711248452</v>
      </c>
      <c r="S21" s="429">
        <f t="shared" si="24"/>
        <v>-475.84606466529658</v>
      </c>
      <c r="T21" s="429">
        <f t="shared" si="25"/>
        <v>-2190.4887147664558</v>
      </c>
    </row>
    <row r="22" spans="1:20">
      <c r="A22" s="245">
        <v>2042</v>
      </c>
      <c r="B22" s="427">
        <f t="shared" si="7"/>
        <v>22773577.591062959</v>
      </c>
      <c r="C22" s="427">
        <f>'Emissions Total'!C22*('Default Values'!B58/10000000)</f>
        <v>21517611.426411666</v>
      </c>
      <c r="D22" s="427">
        <f>'Emissions Total'!D22*('Default Values'!C58/10000000)</f>
        <v>512834.86039530544</v>
      </c>
      <c r="E22" s="427">
        <f>'Emissions Total'!E22*('Default Values'!D58/10000000)</f>
        <v>137061.14399656103</v>
      </c>
      <c r="F22" s="427">
        <f>'Emissions Total'!F22*('Default Values'!E58/10000000)</f>
        <v>606070.16025942529</v>
      </c>
      <c r="H22" s="327">
        <v>2042</v>
      </c>
      <c r="I22" s="430">
        <f t="shared" si="8"/>
        <v>22693421.992877916</v>
      </c>
      <c r="J22" s="430">
        <f>'Emissions Total'!J22*('Default Values'!B58/10000000)</f>
        <v>21441876.421294414</v>
      </c>
      <c r="K22" s="430">
        <f>'Emissions Total'!K22*('Default Values'!C58/10000000)</f>
        <v>511029.84821218409</v>
      </c>
      <c r="L22" s="430">
        <f>'Emissions Total'!L22*('Default Values'!D58/10000000)</f>
        <v>136578.73327558229</v>
      </c>
      <c r="M22" s="430">
        <f>'Emissions Total'!M22*('Default Values'!E58/10000000)</f>
        <v>603936.99009573692</v>
      </c>
      <c r="O22" s="327">
        <v>2042</v>
      </c>
      <c r="P22" s="429">
        <f t="shared" si="21"/>
        <v>-80155.59818504093</v>
      </c>
      <c r="Q22" s="429">
        <f t="shared" si="22"/>
        <v>-75735.005117252469</v>
      </c>
      <c r="R22" s="429">
        <f t="shared" si="23"/>
        <v>-1805.0121831213473</v>
      </c>
      <c r="S22" s="429">
        <f t="shared" si="24"/>
        <v>-482.41072097874712</v>
      </c>
      <c r="T22" s="429">
        <f t="shared" si="25"/>
        <v>-2133.1701636883663</v>
      </c>
    </row>
    <row r="23" spans="1:20">
      <c r="A23" s="245">
        <v>2043</v>
      </c>
      <c r="B23" s="427">
        <f t="shared" si="7"/>
        <v>23100415.642593283</v>
      </c>
      <c r="C23" s="427">
        <f>'Emissions Total'!C23*('Default Values'!B59/10000000)</f>
        <v>21901013.058984466</v>
      </c>
      <c r="D23" s="427">
        <f>'Emissions Total'!D23*('Default Values'!C59/10000000)</f>
        <v>486430.84390641743</v>
      </c>
      <c r="E23" s="427">
        <f>'Emissions Total'!E23*('Default Values'!D59/10000000)</f>
        <v>135866.51725478351</v>
      </c>
      <c r="F23" s="427">
        <f>'Emissions Total'!F23*('Default Values'!E59/10000000)</f>
        <v>577105.22244761616</v>
      </c>
      <c r="H23" s="327">
        <v>2043</v>
      </c>
      <c r="I23" s="430">
        <f t="shared" si="8"/>
        <v>23017304.388441682</v>
      </c>
      <c r="J23" s="430">
        <f>'Emissions Total'!J23*('Default Values'!B59/10000000)</f>
        <v>21822217.045497738</v>
      </c>
      <c r="K23" s="430">
        <f>'Emissions Total'!K23*('Default Values'!C59/10000000)</f>
        <v>484680.7508292807</v>
      </c>
      <c r="L23" s="430">
        <f>'Emissions Total'!L23*('Default Values'!D59/10000000)</f>
        <v>135377.69329503473</v>
      </c>
      <c r="M23" s="430">
        <f>'Emissions Total'!M23*('Default Values'!E59/10000000)</f>
        <v>575028.89881962817</v>
      </c>
      <c r="O23" s="327">
        <v>2043</v>
      </c>
      <c r="P23" s="429">
        <f t="shared" si="21"/>
        <v>-83111.254151601577</v>
      </c>
      <c r="Q23" s="429">
        <f t="shared" si="22"/>
        <v>-78796.013486728072</v>
      </c>
      <c r="R23" s="429">
        <f t="shared" si="23"/>
        <v>-1750.0930771367275</v>
      </c>
      <c r="S23" s="429">
        <f t="shared" si="24"/>
        <v>-488.82395974878455</v>
      </c>
      <c r="T23" s="429">
        <f t="shared" si="25"/>
        <v>-2076.3236279879929</v>
      </c>
    </row>
    <row r="24" spans="1:20">
      <c r="A24" s="245">
        <v>2044</v>
      </c>
      <c r="B24" s="427">
        <f t="shared" si="7"/>
        <v>23139823.195687372</v>
      </c>
      <c r="C24" s="427">
        <f>'Emissions Total'!C24*('Default Values'!B60/10000000)</f>
        <v>21994230.058448996</v>
      </c>
      <c r="D24" s="427">
        <f>'Emissions Total'!D24*('Default Values'!C60/10000000)</f>
        <v>461386.27495237155</v>
      </c>
      <c r="E24" s="427">
        <f>'Emissions Total'!E24*('Default Values'!D60/10000000)</f>
        <v>134682.30289546939</v>
      </c>
      <c r="F24" s="427">
        <f>'Emissions Total'!F24*('Default Values'!E60/10000000)</f>
        <v>549524.55939053639</v>
      </c>
      <c r="H24" s="327">
        <v>2044</v>
      </c>
      <c r="I24" s="430">
        <f t="shared" si="8"/>
        <v>23054761.930031192</v>
      </c>
      <c r="J24" s="430">
        <f>'Emissions Total'!J24*('Default Values'!B60/10000000)</f>
        <v>21913379.957301568</v>
      </c>
      <c r="K24" s="430">
        <f>'Emissions Total'!K24*('Default Values'!C60/10000000)</f>
        <v>459690.23344972276</v>
      </c>
      <c r="L24" s="430">
        <f>'Emissions Total'!L24*('Default Values'!D60/10000000)</f>
        <v>134187.21496636569</v>
      </c>
      <c r="M24" s="430">
        <f>'Emissions Total'!M24*('Default Values'!E60/10000000)</f>
        <v>547504.52431353426</v>
      </c>
      <c r="O24" s="327">
        <v>2044</v>
      </c>
      <c r="P24" s="429">
        <f t="shared" si="21"/>
        <v>-85061.265656182775</v>
      </c>
      <c r="Q24" s="429">
        <f t="shared" si="22"/>
        <v>-80850.101147428155</v>
      </c>
      <c r="R24" s="429">
        <f t="shared" si="23"/>
        <v>-1696.0415026487899</v>
      </c>
      <c r="S24" s="429">
        <f t="shared" si="24"/>
        <v>-495.08792910369812</v>
      </c>
      <c r="T24" s="429">
        <f t="shared" si="25"/>
        <v>-2020.0350770021323</v>
      </c>
    </row>
    <row r="25" spans="1:20">
      <c r="A25" s="245">
        <v>2045</v>
      </c>
      <c r="B25" s="427">
        <f t="shared" si="7"/>
        <v>23178614.920968715</v>
      </c>
      <c r="C25" s="427">
        <f>'Emissions Total'!C25*('Default Values'!B61/10000000)</f>
        <v>22084213.33565164</v>
      </c>
      <c r="D25" s="427">
        <f>'Emissions Total'!D25*('Default Values'!C61/10000000)</f>
        <v>437631.16048492189</v>
      </c>
      <c r="E25" s="427">
        <f>'Emissions Total'!E25*('Default Values'!D61/10000000)</f>
        <v>133508.41016415562</v>
      </c>
      <c r="F25" s="427">
        <f>'Emissions Total'!F25*('Default Values'!E61/10000000)</f>
        <v>523262.01466799877</v>
      </c>
      <c r="H25" s="327">
        <v>2045</v>
      </c>
      <c r="I25" s="430">
        <f t="shared" si="8"/>
        <v>23091599.938845042</v>
      </c>
      <c r="J25" s="430">
        <f>'Emissions Total'!J25*('Default Values'!B61/10000000)</f>
        <v>22001306.853311375</v>
      </c>
      <c r="K25" s="430">
        <f>'Emissions Total'!K25*('Default Values'!C61/10000000)</f>
        <v>435988.24662936153</v>
      </c>
      <c r="L25" s="430">
        <f>'Emissions Total'!L25*('Default Values'!D61/10000000)</f>
        <v>133007.20541299146</v>
      </c>
      <c r="M25" s="430">
        <f>'Emissions Total'!M25*('Default Values'!E61/10000000)</f>
        <v>521297.63349131588</v>
      </c>
      <c r="O25" s="327">
        <v>2045</v>
      </c>
      <c r="P25" s="429">
        <f t="shared" si="21"/>
        <v>-87014.982123672467</v>
      </c>
      <c r="Q25" s="429">
        <f t="shared" si="22"/>
        <v>-82906.482340265065</v>
      </c>
      <c r="R25" s="429">
        <f t="shared" si="23"/>
        <v>-1642.9138555603568</v>
      </c>
      <c r="S25" s="429">
        <f t="shared" si="24"/>
        <v>-501.20475116415764</v>
      </c>
      <c r="T25" s="429">
        <f t="shared" si="25"/>
        <v>-1964.3811766828876</v>
      </c>
    </row>
    <row r="26" spans="1:20">
      <c r="A26" s="245">
        <v>2046</v>
      </c>
      <c r="B26" s="427">
        <f t="shared" si="7"/>
        <v>23216710.161476847</v>
      </c>
      <c r="C26" s="427">
        <f>'Emissions Total'!C26*('Default Values'!B62/10000000)</f>
        <v>22171011.707666773</v>
      </c>
      <c r="D26" s="427">
        <f>'Emissions Total'!D26*('Default Values'!C62/10000000)</f>
        <v>415099.11114531953</v>
      </c>
      <c r="E26" s="427">
        <f>'Emissions Total'!E26*('Default Values'!D62/10000000)</f>
        <v>132344.74909739618</v>
      </c>
      <c r="F26" s="427">
        <f>'Emissions Total'!F26*('Default Values'!E62/10000000)</f>
        <v>498254.59356735757</v>
      </c>
      <c r="H26" s="327">
        <v>2046</v>
      </c>
      <c r="I26" s="430">
        <f t="shared" si="8"/>
        <v>23127738.212079227</v>
      </c>
      <c r="J26" s="430">
        <f>'Emissions Total'!J26*('Default Values'!B62/10000000)</f>
        <v>22086047.123191677</v>
      </c>
      <c r="K26" s="430">
        <f>'Emissions Total'!K26*('Default Values'!C62/10000000)</f>
        <v>413508.35272800073</v>
      </c>
      <c r="L26" s="430">
        <f>'Emissions Total'!L26*('Default Values'!D62/10000000)</f>
        <v>131837.57257506216</v>
      </c>
      <c r="M26" s="430">
        <f>'Emissions Total'!M26*('Default Values'!E62/10000000)</f>
        <v>496345.16358448402</v>
      </c>
      <c r="O26" s="327">
        <v>2046</v>
      </c>
      <c r="P26" s="429">
        <f t="shared" si="21"/>
        <v>-88971.949397622695</v>
      </c>
      <c r="Q26" s="429">
        <f t="shared" si="22"/>
        <v>-84964.584475096315</v>
      </c>
      <c r="R26" s="429">
        <f t="shared" si="23"/>
        <v>-1590.7584173188079</v>
      </c>
      <c r="S26" s="429">
        <f t="shared" si="24"/>
        <v>-507.17652233401896</v>
      </c>
      <c r="T26" s="429">
        <f t="shared" si="25"/>
        <v>-1909.4299828735529</v>
      </c>
    </row>
    <row r="27" spans="1:20">
      <c r="A27" s="245">
        <v>2047</v>
      </c>
      <c r="B27" s="427">
        <f t="shared" si="7"/>
        <v>23254034.088513069</v>
      </c>
      <c r="C27" s="427">
        <f>'Emissions Total'!C27*('Default Values'!B63/10000000)</f>
        <v>22254673.39029276</v>
      </c>
      <c r="D27" s="427">
        <f>'Emissions Total'!D27*('Default Values'!C63/10000000)</f>
        <v>393727.15572334349</v>
      </c>
      <c r="E27" s="427">
        <f>'Emissions Total'!E27*('Default Values'!D63/10000000)</f>
        <v>131191.23051586768</v>
      </c>
      <c r="F27" s="427">
        <f>'Emissions Total'!F27*('Default Values'!E63/10000000)</f>
        <v>474442.31198109814</v>
      </c>
      <c r="H27" s="327">
        <v>2047</v>
      </c>
      <c r="I27" s="430">
        <f t="shared" si="8"/>
        <v>23163102.377583519</v>
      </c>
      <c r="J27" s="430">
        <f>'Emissions Total'!J27*('Default Values'!B63/10000000)</f>
        <v>22167649.542307723</v>
      </c>
      <c r="K27" s="430">
        <f>'Emissions Total'!K27*('Default Values'!C63/10000000)</f>
        <v>392187.53968196874</v>
      </c>
      <c r="L27" s="430">
        <f>'Emissions Total'!L27*('Default Values'!D63/10000000)</f>
        <v>130678.22520227979</v>
      </c>
      <c r="M27" s="430">
        <f>'Emissions Total'!M27*('Default Values'!E63/10000000)</f>
        <v>472587.07039154862</v>
      </c>
      <c r="O27" s="327">
        <v>2047</v>
      </c>
      <c r="P27" s="429">
        <f t="shared" si="21"/>
        <v>-90931.710929548819</v>
      </c>
      <c r="Q27" s="429">
        <f t="shared" si="22"/>
        <v>-87023.847985036671</v>
      </c>
      <c r="R27" s="429">
        <f t="shared" si="23"/>
        <v>-1539.6160413747421</v>
      </c>
      <c r="S27" s="429">
        <f t="shared" si="24"/>
        <v>-513.0053135878843</v>
      </c>
      <c r="T27" s="429">
        <f t="shared" si="25"/>
        <v>-1855.2415895495214</v>
      </c>
    </row>
    <row r="28" spans="1:20">
      <c r="A28" s="245">
        <v>2048</v>
      </c>
      <c r="B28" s="427">
        <f t="shared" si="7"/>
        <v>23648281.283004962</v>
      </c>
      <c r="C28" s="427">
        <f>'Emissions Total'!C28*('Default Values'!B64/10000000)</f>
        <v>22656823.288167994</v>
      </c>
      <c r="D28" s="427">
        <f>'Emissions Total'!D28*('Default Values'!C64/10000000)</f>
        <v>377211.58378437365</v>
      </c>
      <c r="E28" s="427">
        <f>'Emissions Total'!E28*('Default Values'!D64/10000000)</f>
        <v>134242.85524390687</v>
      </c>
      <c r="F28" s="427">
        <f>'Emissions Total'!F28*('Default Values'!E64/10000000)</f>
        <v>480003.55580868496</v>
      </c>
      <c r="H28" s="327">
        <v>2048</v>
      </c>
      <c r="I28" s="430">
        <f t="shared" si="8"/>
        <v>23553960.539348736</v>
      </c>
      <c r="J28" s="430">
        <f>'Emissions Total'!J28*('Default Values'!B64/10000000)</f>
        <v>22566456.956853952</v>
      </c>
      <c r="K28" s="430">
        <f>'Emissions Total'!K28*('Default Values'!C64/10000000)</f>
        <v>375707.08218138176</v>
      </c>
      <c r="L28" s="430">
        <f>'Emissions Total'!L28*('Default Values'!D64/10000000)</f>
        <v>133707.43003538487</v>
      </c>
      <c r="M28" s="430">
        <f>'Emissions Total'!M28*('Default Values'!E64/10000000)</f>
        <v>478089.07027801586</v>
      </c>
      <c r="O28" s="327">
        <v>2048</v>
      </c>
      <c r="P28" s="429">
        <f t="shared" si="21"/>
        <v>-94320.743656225211</v>
      </c>
      <c r="Q28" s="429">
        <f t="shared" si="22"/>
        <v>-90366.331314042211</v>
      </c>
      <c r="R28" s="429">
        <f t="shared" si="23"/>
        <v>-1504.5016029918916</v>
      </c>
      <c r="S28" s="429">
        <f t="shared" si="24"/>
        <v>-535.42520852200687</v>
      </c>
      <c r="T28" s="429">
        <f t="shared" si="25"/>
        <v>-1914.4855306691024</v>
      </c>
    </row>
    <row r="29" spans="1:20">
      <c r="A29" s="245">
        <v>2049</v>
      </c>
      <c r="B29" s="427">
        <f t="shared" ref="B29:B34" si="26">SUM(C29:F29)</f>
        <v>23683396.763753016</v>
      </c>
      <c r="C29" s="427">
        <f>'Emissions Total'!C29*('Default Values'!B65/10000000)</f>
        <v>22735470.133814443</v>
      </c>
      <c r="D29" s="427">
        <f>'Emissions Total'!D29*('Default Values'!C65/10000000)</f>
        <v>357790.32043584692</v>
      </c>
      <c r="E29" s="427">
        <f>'Emissions Total'!E29*('Default Values'!D65/10000000)</f>
        <v>133072.79274412961</v>
      </c>
      <c r="F29" s="427">
        <f>'Emissions Total'!F29*('Default Values'!E65/10000000)</f>
        <v>457063.51675859443</v>
      </c>
      <c r="H29" s="327">
        <v>2049</v>
      </c>
      <c r="I29" s="430">
        <f t="shared" ref="I29:I34" si="27">SUM(J29:M29)</f>
        <v>23587085.981396593</v>
      </c>
      <c r="J29" s="430">
        <f>'Emissions Total'!J29*('Default Values'!B65/10000000)</f>
        <v>22643014.185131442</v>
      </c>
      <c r="K29" s="430">
        <f>'Emissions Total'!K29*('Default Values'!C65/10000000)</f>
        <v>356335.33211535949</v>
      </c>
      <c r="L29" s="430">
        <f>'Emissions Total'!L29*('Default Values'!D65/10000000)</f>
        <v>132531.63959336386</v>
      </c>
      <c r="M29" s="430">
        <f>'Emissions Total'!M29*('Default Values'!E65/10000000)</f>
        <v>455204.82455642812</v>
      </c>
      <c r="O29" s="327">
        <v>2049</v>
      </c>
      <c r="P29" s="429">
        <f t="shared" ref="P29:P34" si="28">SUM(Q29:T29)</f>
        <v>-96310.78235642059</v>
      </c>
      <c r="Q29" s="429">
        <f t="shared" ref="Q29:Q34" si="29">J29-C29</f>
        <v>-92455.948683001101</v>
      </c>
      <c r="R29" s="429">
        <f t="shared" ref="R29:R34" si="30">K29-D29</f>
        <v>-1454.988320487435</v>
      </c>
      <c r="S29" s="429">
        <f t="shared" ref="S29:S34" si="31">L29-E29</f>
        <v>-541.15315076574916</v>
      </c>
      <c r="T29" s="429">
        <f t="shared" ref="T29:T34" si="32">M29-F29</f>
        <v>-1858.6922021663049</v>
      </c>
    </row>
    <row r="30" spans="1:20">
      <c r="A30" s="245">
        <v>2050</v>
      </c>
      <c r="B30" s="427">
        <f t="shared" si="26"/>
        <v>23989140.453285307</v>
      </c>
      <c r="C30" s="427">
        <f>'Emissions Total'!C30*('Default Values'!B66/10000000)</f>
        <v>23082638.72274898</v>
      </c>
      <c r="D30" s="427">
        <f>'Emissions Total'!D30*('Default Values'!C66/10000000)</f>
        <v>339368.98785898078</v>
      </c>
      <c r="E30" s="427">
        <f>'Emissions Total'!E30*('Default Values'!D66/10000000)</f>
        <v>131912.92852455805</v>
      </c>
      <c r="F30" s="427">
        <f>'Emissions Total'!F30*('Default Values'!E66/10000000)</f>
        <v>435219.81415278936</v>
      </c>
      <c r="H30" s="327">
        <v>2050</v>
      </c>
      <c r="I30" s="430">
        <f t="shared" si="27"/>
        <v>23889712.618339717</v>
      </c>
      <c r="J30" s="430">
        <f>'Emissions Total'!J30*('Default Values'!B66/10000000)</f>
        <v>22986968.067207839</v>
      </c>
      <c r="K30" s="430">
        <f>'Emissions Total'!K30*('Default Values'!C66/10000000)</f>
        <v>337962.40458534483</v>
      </c>
      <c r="L30" s="430">
        <f>'Emissions Total'!L30*('Default Values'!D66/10000000)</f>
        <v>131366.18876495434</v>
      </c>
      <c r="M30" s="430">
        <f>'Emissions Total'!M30*('Default Values'!E66/10000000)</f>
        <v>433415.95778157422</v>
      </c>
      <c r="O30" s="327">
        <v>2050</v>
      </c>
      <c r="P30" s="429">
        <f t="shared" si="28"/>
        <v>-99427.834945595387</v>
      </c>
      <c r="Q30" s="429">
        <f t="shared" si="29"/>
        <v>-95670.655541140586</v>
      </c>
      <c r="R30" s="429">
        <f t="shared" si="30"/>
        <v>-1406.5832736359444</v>
      </c>
      <c r="S30" s="429">
        <f t="shared" si="31"/>
        <v>-546.73975960371899</v>
      </c>
      <c r="T30" s="429">
        <f t="shared" si="32"/>
        <v>-1803.8563712151372</v>
      </c>
    </row>
    <row r="31" spans="1:20">
      <c r="A31" s="245">
        <v>2051</v>
      </c>
      <c r="B31" s="427">
        <f t="shared" si="26"/>
        <v>23676193.429061431</v>
      </c>
      <c r="C31" s="427">
        <f>'Emissions Total'!C31*('Default Values'!B67/10000000)</f>
        <v>22811836.827171657</v>
      </c>
      <c r="D31" s="427">
        <f>'Emissions Total'!D31*('Default Values'!C67/10000000)</f>
        <v>320885.31290117244</v>
      </c>
      <c r="E31" s="427">
        <f>'Emissions Total'!E31*('Default Values'!D67/10000000)</f>
        <v>130352.56247929642</v>
      </c>
      <c r="F31" s="427">
        <f>'Emissions Total'!F31*('Default Values'!E67/10000000)</f>
        <v>413118.7265093071</v>
      </c>
      <c r="H31" s="327">
        <v>2051</v>
      </c>
      <c r="I31" s="430">
        <f t="shared" si="27"/>
        <v>23578062.666227777</v>
      </c>
      <c r="J31" s="430">
        <f>'Emissions Total'!J31*('Default Values'!B67/10000000)</f>
        <v>22717288.564749561</v>
      </c>
      <c r="K31" s="430">
        <f>'Emissions Total'!K31*('Default Values'!C67/10000000)</f>
        <v>319555.33894942823</v>
      </c>
      <c r="L31" s="430">
        <f>'Emissions Total'!L31*('Default Values'!D67/10000000)</f>
        <v>129812.28997173555</v>
      </c>
      <c r="M31" s="430">
        <f>'Emissions Total'!M31*('Default Values'!E67/10000000)</f>
        <v>411406.47255705378</v>
      </c>
      <c r="O31" s="327">
        <v>2051</v>
      </c>
      <c r="P31" s="429">
        <f t="shared" si="28"/>
        <v>-98130.762833654386</v>
      </c>
      <c r="Q31" s="429">
        <f t="shared" si="29"/>
        <v>-94548.262422095984</v>
      </c>
      <c r="R31" s="429">
        <f t="shared" si="30"/>
        <v>-1329.9739517442067</v>
      </c>
      <c r="S31" s="429">
        <f t="shared" si="31"/>
        <v>-540.27250756087597</v>
      </c>
      <c r="T31" s="429">
        <f t="shared" si="32"/>
        <v>-1712.2539522533189</v>
      </c>
    </row>
    <row r="32" spans="1:20">
      <c r="A32" s="245">
        <v>2052</v>
      </c>
      <c r="B32" s="427">
        <f t="shared" si="26"/>
        <v>23368570.902623575</v>
      </c>
      <c r="C32" s="427">
        <f>'Emissions Total'!C32*('Default Values'!B68/10000000)</f>
        <v>22544211.936941475</v>
      </c>
      <c r="D32" s="427">
        <f>'Emissions Total'!D32*('Default Values'!C68/10000000)</f>
        <v>303408.34819730121</v>
      </c>
      <c r="E32" s="427">
        <f>'Emissions Total'!E32*('Default Values'!D68/10000000)</f>
        <v>128810.6536256265</v>
      </c>
      <c r="F32" s="427">
        <f>'Emissions Total'!F32*('Default Values'!E68/10000000)</f>
        <v>392139.96385917504</v>
      </c>
      <c r="H32" s="327">
        <v>2052</v>
      </c>
      <c r="I32" s="430">
        <f t="shared" si="27"/>
        <v>23271715.143446013</v>
      </c>
      <c r="J32" s="430">
        <f>'Emissions Total'!J32*('Default Values'!B68/10000000)</f>
        <v>22450772.899898466</v>
      </c>
      <c r="K32" s="430">
        <f>'Emissions Total'!K32*('Default Values'!C68/10000000)</f>
        <v>302150.81105359155</v>
      </c>
      <c r="L32" s="430">
        <f>'Emissions Total'!L32*('Default Values'!D68/10000000)</f>
        <v>128276.77187055227</v>
      </c>
      <c r="M32" s="430">
        <f>'Emissions Total'!M32*('Default Values'!E68/10000000)</f>
        <v>390514.66062340111</v>
      </c>
      <c r="O32" s="327">
        <v>2052</v>
      </c>
      <c r="P32" s="429">
        <f t="shared" si="28"/>
        <v>-96855.759177566768</v>
      </c>
      <c r="Q32" s="429">
        <f t="shared" si="29"/>
        <v>-93439.037043008953</v>
      </c>
      <c r="R32" s="429">
        <f t="shared" si="30"/>
        <v>-1257.5371437096619</v>
      </c>
      <c r="S32" s="429">
        <f t="shared" si="31"/>
        <v>-533.8817550742242</v>
      </c>
      <c r="T32" s="429">
        <f t="shared" si="32"/>
        <v>-1625.3032357739285</v>
      </c>
    </row>
    <row r="33" spans="1:20">
      <c r="A33" s="245">
        <v>2053</v>
      </c>
      <c r="B33" s="427">
        <f t="shared" si="26"/>
        <v>23066123.559936754</v>
      </c>
      <c r="C33" s="427">
        <f>'Emissions Total'!C33*('Default Values'!B69/10000000)</f>
        <v>22279726.779930212</v>
      </c>
      <c r="D33" s="427">
        <f>'Emissions Total'!D33*('Default Values'!C69/10000000)</f>
        <v>286883.26344237133</v>
      </c>
      <c r="E33" s="427">
        <f>'Emissions Total'!E33*('Default Values'!D69/10000000)</f>
        <v>127286.98363790449</v>
      </c>
      <c r="F33" s="427">
        <f>'Emissions Total'!F33*('Default Values'!E69/10000000)</f>
        <v>372226.53292626946</v>
      </c>
      <c r="H33" s="327">
        <v>2053</v>
      </c>
      <c r="I33" s="430">
        <f t="shared" si="27"/>
        <v>22970521.354821578</v>
      </c>
      <c r="J33" s="430">
        <f>'Emissions Total'!J33*('Default Values'!B69/10000000)</f>
        <v>22187383.955008186</v>
      </c>
      <c r="K33" s="430">
        <f>'Emissions Total'!K33*('Default Values'!C69/10000000)</f>
        <v>285694.21784810559</v>
      </c>
      <c r="L33" s="430">
        <f>'Emissions Total'!L33*('Default Values'!D69/10000000)</f>
        <v>126759.41704065535</v>
      </c>
      <c r="M33" s="430">
        <f>'Emissions Total'!M33*('Default Values'!E69/10000000)</f>
        <v>370683.76492463</v>
      </c>
      <c r="O33" s="327">
        <v>2053</v>
      </c>
      <c r="P33" s="429">
        <f t="shared" si="28"/>
        <v>-95602.205115179546</v>
      </c>
      <c r="Q33" s="429">
        <f t="shared" si="29"/>
        <v>-92342.824922025204</v>
      </c>
      <c r="R33" s="429">
        <f t="shared" si="30"/>
        <v>-1189.0455942657427</v>
      </c>
      <c r="S33" s="429">
        <f t="shared" si="31"/>
        <v>-527.56659724914061</v>
      </c>
      <c r="T33" s="429">
        <f t="shared" si="32"/>
        <v>-1542.7680016394588</v>
      </c>
    </row>
    <row r="34" spans="1:20">
      <c r="A34" s="245">
        <v>2054</v>
      </c>
      <c r="B34" s="427">
        <f t="shared" si="26"/>
        <v>22768708.407343086</v>
      </c>
      <c r="C34" s="427">
        <f>'Emissions Total'!C34*('Default Values'!B70/10000000)</f>
        <v>22018344.521280397</v>
      </c>
      <c r="D34" s="427">
        <f>'Emissions Total'!D34*('Default Values'!C70/10000000)</f>
        <v>271258.21465474454</v>
      </c>
      <c r="E34" s="427">
        <f>'Emissions Total'!E34*('Default Values'!D70/10000000)</f>
        <v>125781.3367730077</v>
      </c>
      <c r="F34" s="427">
        <f>'Emissions Total'!F34*('Default Values'!E70/10000000)</f>
        <v>353324.33463493665</v>
      </c>
      <c r="H34" s="327">
        <v>2054</v>
      </c>
      <c r="I34" s="430">
        <f t="shared" si="27"/>
        <v>22674338.899362676</v>
      </c>
      <c r="J34" s="430">
        <f>'Emissions Total'!J34*('Default Values'!B70/10000000)</f>
        <v>21927085.047890756</v>
      </c>
      <c r="K34" s="430">
        <f>'Emissions Total'!K34*('Default Values'!C70/10000000)</f>
        <v>270133.93022917927</v>
      </c>
      <c r="L34" s="430">
        <f>'Emissions Total'!L34*('Default Values'!D70/10000000)</f>
        <v>125260.01063311302</v>
      </c>
      <c r="M34" s="430">
        <f>'Emissions Total'!M34*('Default Values'!E70/10000000)</f>
        <v>351859.91060962598</v>
      </c>
      <c r="O34" s="327">
        <v>2054</v>
      </c>
      <c r="P34" s="429">
        <f t="shared" si="28"/>
        <v>-94369.507980411072</v>
      </c>
      <c r="Q34" s="429">
        <f t="shared" si="29"/>
        <v>-91259.47338964045</v>
      </c>
      <c r="R34" s="429">
        <f t="shared" si="30"/>
        <v>-1124.2844255652744</v>
      </c>
      <c r="S34" s="429">
        <f t="shared" si="31"/>
        <v>-521.32613989467791</v>
      </c>
      <c r="T34" s="429">
        <f t="shared" si="32"/>
        <v>-1464.4240253106691</v>
      </c>
    </row>
    <row r="36" spans="1:20">
      <c r="A36" s="245" t="s">
        <v>77</v>
      </c>
      <c r="D36" s="418" t="s">
        <v>36</v>
      </c>
      <c r="H36" s="245" t="s">
        <v>77</v>
      </c>
      <c r="K36" s="418" t="s">
        <v>36</v>
      </c>
      <c r="O36" s="245" t="s">
        <v>77</v>
      </c>
      <c r="P36" s="264"/>
      <c r="Q36" s="264"/>
      <c r="R36" s="264" t="s">
        <v>43</v>
      </c>
    </row>
    <row r="37" spans="1:20" ht="15.6">
      <c r="A37" s="413" t="s">
        <v>3</v>
      </c>
      <c r="B37" s="423" t="s">
        <v>6</v>
      </c>
      <c r="C37" s="423" t="s">
        <v>27</v>
      </c>
      <c r="D37" s="423" t="s">
        <v>28</v>
      </c>
      <c r="E37" s="423" t="s">
        <v>29</v>
      </c>
      <c r="F37" s="423" t="s">
        <v>30</v>
      </c>
      <c r="H37" s="414" t="s">
        <v>2</v>
      </c>
      <c r="I37" s="423" t="s">
        <v>6</v>
      </c>
      <c r="J37" s="401" t="s">
        <v>27</v>
      </c>
      <c r="K37" s="401" t="s">
        <v>28</v>
      </c>
      <c r="L37" s="401" t="s">
        <v>29</v>
      </c>
      <c r="M37" s="401" t="s">
        <v>30</v>
      </c>
      <c r="O37" s="327" t="s">
        <v>1</v>
      </c>
      <c r="P37" s="423" t="s">
        <v>6</v>
      </c>
      <c r="Q37" s="401" t="s">
        <v>27</v>
      </c>
      <c r="R37" s="401" t="s">
        <v>28</v>
      </c>
      <c r="S37" s="401" t="s">
        <v>29</v>
      </c>
      <c r="T37" s="401" t="s">
        <v>30</v>
      </c>
    </row>
    <row r="38" spans="1:20">
      <c r="A38" s="327">
        <v>2025</v>
      </c>
      <c r="B38" s="430">
        <f t="shared" ref="B38:B41" si="33">SUM(C38:F38)</f>
        <v>8099384.4726494681</v>
      </c>
      <c r="C38" s="430">
        <f>'Emissions Total'!C39*('Default Values'!B41/10000000)</f>
        <v>5083601.4490249101</v>
      </c>
      <c r="D38" s="430">
        <f>'Emissions Total'!D39*('Default Values'!C41/10000000)</f>
        <v>1902222.6714842296</v>
      </c>
      <c r="E38" s="430">
        <f>'Emissions Total'!E39*('Default Values'!D41/10000000)</f>
        <v>38311.538951512557</v>
      </c>
      <c r="F38" s="430">
        <f>'Emissions Total'!F39*('Default Values'!E41/10000000)</f>
        <v>1075248.8131888153</v>
      </c>
      <c r="H38" s="327">
        <v>2025</v>
      </c>
      <c r="I38" s="430">
        <f t="shared" ref="I38:I41" si="34">SUM(J38:M38)</f>
        <v>8080667.4331482193</v>
      </c>
      <c r="J38" s="430">
        <f>'Emissions Total'!J39*('Default Values'!B41/10000000)</f>
        <v>5127234.4165875167</v>
      </c>
      <c r="K38" s="430">
        <f>'Emissions Total'!K39*('Default Values'!C41/10000000)</f>
        <v>1888432.6852218348</v>
      </c>
      <c r="L38" s="430">
        <f>'Emissions Total'!L39*('Default Values'!D41/10000000)</f>
        <v>38866.367061824982</v>
      </c>
      <c r="M38" s="430">
        <f>'Emissions Total'!M39*('Default Values'!E41/10000000)</f>
        <v>1026133.9642770427</v>
      </c>
      <c r="O38" s="327">
        <v>2025</v>
      </c>
      <c r="P38" s="429">
        <f t="shared" ref="P38:P41" si="35">SUM(Q38:T38)</f>
        <v>-18717.03950124843</v>
      </c>
      <c r="Q38" s="429">
        <f t="shared" ref="Q38:Q41" si="36">J38-C38</f>
        <v>43632.967562606558</v>
      </c>
      <c r="R38" s="429">
        <f t="shared" ref="R38:R41" si="37">K38-D38</f>
        <v>-13789.986262394814</v>
      </c>
      <c r="S38" s="429">
        <f t="shared" ref="S38:S41" si="38">L38-E38</f>
        <v>554.82811031242454</v>
      </c>
      <c r="T38" s="429">
        <f t="shared" ref="T38:T41" si="39">M38-F38</f>
        <v>-49114.848911772599</v>
      </c>
    </row>
    <row r="39" spans="1:20">
      <c r="A39" s="327">
        <v>2026</v>
      </c>
      <c r="B39" s="430">
        <f t="shared" si="33"/>
        <v>8056613.8584764143</v>
      </c>
      <c r="C39" s="430">
        <f>'Emissions Total'!C40*('Default Values'!B42/10000000)</f>
        <v>5136719.3302121963</v>
      </c>
      <c r="D39" s="430">
        <f>'Emissions Total'!D40*('Default Values'!C42/10000000)</f>
        <v>1839573.2614029883</v>
      </c>
      <c r="E39" s="430">
        <f>'Emissions Total'!E40*('Default Values'!D42/10000000)</f>
        <v>38706.542448760098</v>
      </c>
      <c r="F39" s="430">
        <f>'Emissions Total'!F40*('Default Values'!E42/10000000)</f>
        <v>1041614.7244124692</v>
      </c>
      <c r="H39" s="327">
        <v>2026</v>
      </c>
      <c r="I39" s="430">
        <f t="shared" si="34"/>
        <v>8081717.0228214283</v>
      </c>
      <c r="J39" s="430">
        <f>'Emissions Total'!J40*('Default Values'!B42/10000000)</f>
        <v>5152724.5542189125</v>
      </c>
      <c r="K39" s="430">
        <f>'Emissions Total'!K40*('Default Values'!C42/10000000)</f>
        <v>1845305.087541969</v>
      </c>
      <c r="L39" s="430">
        <f>'Emissions Total'!L40*('Default Values'!D42/10000000)</f>
        <v>38827.146056353398</v>
      </c>
      <c r="M39" s="430">
        <f>'Emissions Total'!M40*('Default Values'!E42/10000000)</f>
        <v>1044860.2350041927</v>
      </c>
      <c r="O39" s="327">
        <v>2026</v>
      </c>
      <c r="P39" s="429">
        <f t="shared" si="35"/>
        <v>25103.16434501364</v>
      </c>
      <c r="Q39" s="429">
        <f t="shared" si="36"/>
        <v>16005.224006716162</v>
      </c>
      <c r="R39" s="429">
        <f t="shared" si="37"/>
        <v>5731.8261389806867</v>
      </c>
      <c r="S39" s="429">
        <f t="shared" si="38"/>
        <v>120.60360759330069</v>
      </c>
      <c r="T39" s="429">
        <f t="shared" si="39"/>
        <v>3245.5105917234905</v>
      </c>
    </row>
    <row r="40" spans="1:20">
      <c r="A40" s="327">
        <v>2027</v>
      </c>
      <c r="B40" s="430">
        <f t="shared" si="33"/>
        <v>8015213.7129117679</v>
      </c>
      <c r="C40" s="430">
        <f>'Emissions Total'!C41*('Default Values'!B43/10000000)</f>
        <v>5188794.6978222048</v>
      </c>
      <c r="D40" s="430">
        <f>'Emissions Total'!D41*('Default Values'!C43/10000000)</f>
        <v>1778419.9208913436</v>
      </c>
      <c r="E40" s="430">
        <f>'Emissions Total'!E41*('Default Values'!D43/10000000)</f>
        <v>39093.634966697689</v>
      </c>
      <c r="F40" s="430">
        <f>'Emissions Total'!F41*('Default Values'!E43/10000000)</f>
        <v>1008905.4592315219</v>
      </c>
      <c r="H40" s="327">
        <v>2027</v>
      </c>
      <c r="I40" s="430">
        <f t="shared" si="34"/>
        <v>8040448.4581435081</v>
      </c>
      <c r="J40" s="430">
        <f>'Emissions Total'!J41*('Default Values'!B43/10000000)</f>
        <v>5205130.8701251866</v>
      </c>
      <c r="K40" s="430">
        <f>'Emissions Total'!K41*('Default Values'!C43/10000000)</f>
        <v>1784019.0197084409</v>
      </c>
      <c r="L40" s="430">
        <f>'Emissions Total'!L41*('Default Values'!D43/10000000)</f>
        <v>39216.71564226073</v>
      </c>
      <c r="M40" s="430">
        <f>'Emissions Total'!M41*('Default Values'!E43/10000000)</f>
        <v>1012081.8526676205</v>
      </c>
      <c r="O40" s="327">
        <v>2027</v>
      </c>
      <c r="P40" s="429">
        <f t="shared" si="35"/>
        <v>25234.745231740722</v>
      </c>
      <c r="Q40" s="429">
        <f t="shared" si="36"/>
        <v>16336.172302981839</v>
      </c>
      <c r="R40" s="429">
        <f t="shared" si="37"/>
        <v>5599.098817097256</v>
      </c>
      <c r="S40" s="429">
        <f t="shared" si="38"/>
        <v>123.08067556304013</v>
      </c>
      <c r="T40" s="429">
        <f t="shared" si="39"/>
        <v>3176.3934360985877</v>
      </c>
    </row>
    <row r="41" spans="1:20">
      <c r="A41" s="327">
        <v>2028</v>
      </c>
      <c r="B41" s="430">
        <f t="shared" si="33"/>
        <v>8064228.6089021983</v>
      </c>
      <c r="C41" s="430">
        <f>'Emissions Total'!C42*('Default Values'!B44/10000000)</f>
        <v>5328650.7594574839</v>
      </c>
      <c r="D41" s="430">
        <f>'Emissions Total'!D42*('Default Values'!C44/10000000)</f>
        <v>1718770.3363352336</v>
      </c>
      <c r="E41" s="430">
        <f>'Emissions Total'!E42*('Default Values'!D44/10000000)</f>
        <v>39472.911714341644</v>
      </c>
      <c r="F41" s="430">
        <f>'Emissions Total'!F42*('Default Values'!E44/10000000)</f>
        <v>977334.60139513912</v>
      </c>
      <c r="H41" s="327">
        <v>2028</v>
      </c>
      <c r="I41" s="430">
        <f t="shared" si="34"/>
        <v>8089879.8498034272</v>
      </c>
      <c r="J41" s="430">
        <f>'Emissions Total'!J42*('Default Values'!B44/10000000)</f>
        <v>5345600.4902920574</v>
      </c>
      <c r="K41" s="430">
        <f>'Emissions Total'!K42*('Default Values'!C44/10000000)</f>
        <v>1724237.5166558104</v>
      </c>
      <c r="L41" s="430">
        <f>'Emissions Total'!L42*('Default Values'!D44/10000000)</f>
        <v>39598.469807565809</v>
      </c>
      <c r="M41" s="430">
        <f>'Emissions Total'!M42*('Default Values'!E44/10000000)</f>
        <v>980443.37304799375</v>
      </c>
      <c r="O41" s="327">
        <v>2028</v>
      </c>
      <c r="P41" s="429">
        <f t="shared" si="35"/>
        <v>25651.240901229066</v>
      </c>
      <c r="Q41" s="429">
        <f t="shared" si="36"/>
        <v>16949.730834573507</v>
      </c>
      <c r="R41" s="429">
        <f t="shared" si="37"/>
        <v>5467.1803205767646</v>
      </c>
      <c r="S41" s="429">
        <f t="shared" si="38"/>
        <v>125.55809322416462</v>
      </c>
      <c r="T41" s="429">
        <f t="shared" si="39"/>
        <v>3108.7716528546298</v>
      </c>
    </row>
    <row r="42" spans="1:20">
      <c r="A42" s="327">
        <v>2029</v>
      </c>
      <c r="B42" s="430">
        <f t="shared" ref="B42:B61" si="40">SUM(C42:F42)</f>
        <v>8025326.5504901651</v>
      </c>
      <c r="C42" s="430">
        <f>'Emissions Total'!C43*('Default Values'!B45/10000000)</f>
        <v>5378031.6676067431</v>
      </c>
      <c r="D42" s="430">
        <f>'Emissions Total'!D43*('Default Values'!C45/10000000)</f>
        <v>1660627.6516120997</v>
      </c>
      <c r="E42" s="430">
        <f>'Emissions Total'!E43*('Default Values'!D45/10000000)</f>
        <v>39927.303656187112</v>
      </c>
      <c r="F42" s="430">
        <f>'Emissions Total'!F43*('Default Values'!E45/10000000)</f>
        <v>946739.92761513544</v>
      </c>
      <c r="H42" s="327">
        <v>2029</v>
      </c>
      <c r="I42" s="430">
        <f t="shared" ref="I42:I61" si="41">SUM(J42:M42)</f>
        <v>8051114.9721360244</v>
      </c>
      <c r="J42" s="430">
        <f>'Emissions Total'!J43*('Default Values'!B45/10000000)</f>
        <v>5395313.3255425878</v>
      </c>
      <c r="K42" s="430">
        <f>'Emissions Total'!K43*('Default Values'!C45/10000000)</f>
        <v>1665963.8788431184</v>
      </c>
      <c r="L42" s="430">
        <f>'Emissions Total'!L43*('Default Values'!D45/10000000)</f>
        <v>40055.60524433932</v>
      </c>
      <c r="M42" s="430">
        <f>'Emissions Total'!M43*('Default Values'!E45/10000000)</f>
        <v>949782.16250597825</v>
      </c>
      <c r="O42" s="327">
        <v>2029</v>
      </c>
      <c r="P42" s="429">
        <f t="shared" ref="P42:P48" si="42">SUM(Q42:T42)</f>
        <v>25788.421645858463</v>
      </c>
      <c r="Q42" s="429">
        <f t="shared" ref="Q42:T48" si="43">J42-C42</f>
        <v>17281.657935844734</v>
      </c>
      <c r="R42" s="429">
        <f t="shared" si="43"/>
        <v>5336.2272310187109</v>
      </c>
      <c r="S42" s="429">
        <f t="shared" si="43"/>
        <v>128.30158815220784</v>
      </c>
      <c r="T42" s="429">
        <f t="shared" si="43"/>
        <v>3042.2348908428103</v>
      </c>
    </row>
    <row r="43" spans="1:20">
      <c r="A43" s="327">
        <v>2030</v>
      </c>
      <c r="B43" s="430">
        <f t="shared" si="40"/>
        <v>7996774.8993303291</v>
      </c>
      <c r="C43" s="430">
        <f>'Emissions Total'!C44*('Default Values'!B46/10000000)</f>
        <v>5426411.4786633272</v>
      </c>
      <c r="D43" s="430">
        <f>'Emissions Total'!D44*('Default Values'!C46/10000000)</f>
        <v>1612901.965403216</v>
      </c>
      <c r="E43" s="430">
        <f>'Emissions Total'!E44*('Default Values'!D46/10000000)</f>
        <v>40372.845382197374</v>
      </c>
      <c r="F43" s="430">
        <f>'Emissions Total'!F44*('Default Values'!E46/10000000)</f>
        <v>917088.60988158803</v>
      </c>
      <c r="H43" s="327">
        <v>2030</v>
      </c>
      <c r="I43" s="430">
        <f t="shared" si="41"/>
        <v>8022731.5768505484</v>
      </c>
      <c r="J43" s="430">
        <f>'Emissions Total'!J44*('Default Values'!B46/10000000)</f>
        <v>5444025.0309536988</v>
      </c>
      <c r="K43" s="430">
        <f>'Emissions Total'!K44*('Default Values'!C46/10000000)</f>
        <v>1618137.2729759235</v>
      </c>
      <c r="L43" s="430">
        <f>'Emissions Total'!L44*('Default Values'!D46/10000000)</f>
        <v>40503.891327763158</v>
      </c>
      <c r="M43" s="430">
        <f>'Emissions Total'!M44*('Default Values'!E46/10000000)</f>
        <v>920065.38159316347</v>
      </c>
      <c r="O43" s="327">
        <v>2030</v>
      </c>
      <c r="P43" s="429">
        <f t="shared" si="42"/>
        <v>25956.677520220386</v>
      </c>
      <c r="Q43" s="429">
        <f t="shared" si="43"/>
        <v>17613.552290371619</v>
      </c>
      <c r="R43" s="429">
        <f t="shared" si="43"/>
        <v>5235.3075727075338</v>
      </c>
      <c r="S43" s="429">
        <f t="shared" si="43"/>
        <v>131.04594556578377</v>
      </c>
      <c r="T43" s="429">
        <f t="shared" si="43"/>
        <v>2976.7717115754494</v>
      </c>
    </row>
    <row r="44" spans="1:20">
      <c r="A44" s="327">
        <v>2031</v>
      </c>
      <c r="B44" s="430">
        <f t="shared" si="40"/>
        <v>7920245.7074856702</v>
      </c>
      <c r="C44" s="430">
        <f>'Emissions Total'!C45*('Default Values'!B47/10000000)</f>
        <v>5473802.1493165903</v>
      </c>
      <c r="D44" s="430">
        <f>'Emissions Total'!D45*('Default Values'!C47/10000000)</f>
        <v>1531928.0508328376</v>
      </c>
      <c r="E44" s="430">
        <f>'Emissions Total'!E45*('Default Values'!D47/10000000)</f>
        <v>40075.069156549631</v>
      </c>
      <c r="F44" s="430">
        <f>'Emissions Total'!F45*('Default Values'!E47/10000000)</f>
        <v>874440.43817969237</v>
      </c>
      <c r="H44" s="327">
        <v>2031</v>
      </c>
      <c r="I44" s="430">
        <f t="shared" si="41"/>
        <v>7946211.5027051754</v>
      </c>
      <c r="J44" s="430">
        <f>'Emissions Total'!J45*('Default Values'!B47/10000000)</f>
        <v>5491747.5049192468</v>
      </c>
      <c r="K44" s="430">
        <f>'Emissions Total'!K45*('Default Values'!C47/10000000)</f>
        <v>1536950.3356871253</v>
      </c>
      <c r="L44" s="430">
        <f>'Emissions Total'!L45*('Default Values'!D47/10000000)</f>
        <v>40206.451575423715</v>
      </c>
      <c r="M44" s="430">
        <f>'Emissions Total'!M45*('Default Values'!E47/10000000)</f>
        <v>877307.21052337985</v>
      </c>
      <c r="O44" s="327">
        <v>2031</v>
      </c>
      <c r="P44" s="429">
        <f t="shared" si="42"/>
        <v>25965.795219505802</v>
      </c>
      <c r="Q44" s="429">
        <f t="shared" si="43"/>
        <v>17945.355602656491</v>
      </c>
      <c r="R44" s="429">
        <f t="shared" si="43"/>
        <v>5022.2848542877473</v>
      </c>
      <c r="S44" s="429">
        <f t="shared" si="43"/>
        <v>131.38241887408367</v>
      </c>
      <c r="T44" s="429">
        <f t="shared" si="43"/>
        <v>2866.7723436874803</v>
      </c>
    </row>
    <row r="45" spans="1:20">
      <c r="A45" s="327">
        <v>2032</v>
      </c>
      <c r="B45" s="430">
        <f t="shared" si="40"/>
        <v>7848789.9159184676</v>
      </c>
      <c r="C45" s="430">
        <f>'Emissions Total'!C46*('Default Values'!B48/10000000)</f>
        <v>5520215.5152388653</v>
      </c>
      <c r="D45" s="430">
        <f>'Emissions Total'!D46*('Default Values'!C48/10000000)</f>
        <v>1455019.33984054</v>
      </c>
      <c r="E45" s="430">
        <f>'Emissions Total'!E46*('Default Values'!D48/10000000)</f>
        <v>39779.489225954203</v>
      </c>
      <c r="F45" s="430">
        <f>'Emissions Total'!F46*('Default Values'!E48/10000000)</f>
        <v>833775.57161310839</v>
      </c>
      <c r="H45" s="327">
        <v>2032</v>
      </c>
      <c r="I45" s="430">
        <f t="shared" si="41"/>
        <v>7874776.6581168501</v>
      </c>
      <c r="J45" s="430">
        <f>'Emissions Total'!J46*('Default Values'!B48/10000000)</f>
        <v>5538492.5259641847</v>
      </c>
      <c r="K45" s="430">
        <f>'Emissions Total'!K46*('Default Values'!C48/10000000)</f>
        <v>1459836.7974210277</v>
      </c>
      <c r="L45" s="430">
        <f>'Emissions Total'!L46*('Default Values'!D48/10000000)</f>
        <v>39911.196067693163</v>
      </c>
      <c r="M45" s="430">
        <f>'Emissions Total'!M46*('Default Values'!E48/10000000)</f>
        <v>836536.13866394456</v>
      </c>
      <c r="O45" s="327">
        <v>2032</v>
      </c>
      <c r="P45" s="429">
        <f t="shared" si="42"/>
        <v>25986.742198382221</v>
      </c>
      <c r="Q45" s="429">
        <f t="shared" si="43"/>
        <v>18277.010725319386</v>
      </c>
      <c r="R45" s="429">
        <f t="shared" si="43"/>
        <v>4817.4575804877095</v>
      </c>
      <c r="S45" s="429">
        <f t="shared" si="43"/>
        <v>131.70684173896007</v>
      </c>
      <c r="T45" s="429">
        <f t="shared" si="43"/>
        <v>2760.5670508361654</v>
      </c>
    </row>
    <row r="46" spans="1:20">
      <c r="A46" s="327">
        <v>2033</v>
      </c>
      <c r="B46" s="430">
        <f t="shared" si="40"/>
        <v>7782122.9039073875</v>
      </c>
      <c r="C46" s="430">
        <f>'Emissions Total'!C47*('Default Values'!B49/10000000)</f>
        <v>5565663.29221367</v>
      </c>
      <c r="D46" s="430">
        <f>'Emissions Total'!D47*('Default Values'!C49/10000000)</f>
        <v>1381971.7434895474</v>
      </c>
      <c r="E46" s="430">
        <f>'Emissions Total'!E47*('Default Values'!D49/10000000)</f>
        <v>39486.089391293965</v>
      </c>
      <c r="F46" s="430">
        <f>'Emissions Total'!F47*('Default Values'!E49/10000000)</f>
        <v>795001.77881287574</v>
      </c>
      <c r="H46" s="327">
        <v>2033</v>
      </c>
      <c r="I46" s="430">
        <f t="shared" si="41"/>
        <v>7808141.9654204166</v>
      </c>
      <c r="J46" s="430">
        <f>'Emissions Total'!J47*('Default Values'!B49/10000000)</f>
        <v>5584271.753856984</v>
      </c>
      <c r="K46" s="430">
        <f>'Emissions Total'!K47*('Default Values'!C49/10000000)</f>
        <v>1386592.2831863789</v>
      </c>
      <c r="L46" s="430">
        <f>'Emissions Total'!L47*('Default Values'!D49/10000000)</f>
        <v>39618.108764602141</v>
      </c>
      <c r="M46" s="430">
        <f>'Emissions Total'!M47*('Default Values'!E49/10000000)</f>
        <v>797659.81961245171</v>
      </c>
      <c r="O46" s="327">
        <v>2033</v>
      </c>
      <c r="P46" s="429">
        <f t="shared" si="42"/>
        <v>26019.061513029628</v>
      </c>
      <c r="Q46" s="429">
        <f t="shared" si="43"/>
        <v>18608.461643313989</v>
      </c>
      <c r="R46" s="429">
        <f t="shared" si="43"/>
        <v>4620.539696831489</v>
      </c>
      <c r="S46" s="429">
        <f t="shared" si="43"/>
        <v>132.019373308176</v>
      </c>
      <c r="T46" s="429">
        <f t="shared" si="43"/>
        <v>2658.0407995759742</v>
      </c>
    </row>
    <row r="47" spans="1:20">
      <c r="A47" s="327">
        <v>2034</v>
      </c>
      <c r="B47" s="430">
        <f t="shared" si="40"/>
        <v>7719974.4672494503</v>
      </c>
      <c r="C47" s="430">
        <f>'Emissions Total'!C48*('Default Values'!B50/10000000)</f>
        <v>5610157.0772539005</v>
      </c>
      <c r="D47" s="430">
        <f>'Emissions Total'!D48*('Default Values'!C50/10000000)</f>
        <v>1312591.4188967722</v>
      </c>
      <c r="E47" s="430">
        <f>'Emissions Total'!E48*('Default Values'!D50/10000000)</f>
        <v>39194.853572930915</v>
      </c>
      <c r="F47" s="430">
        <f>'Emissions Total'!F48*('Default Values'!E50/10000000)</f>
        <v>758031.11752584705</v>
      </c>
      <c r="H47" s="327">
        <v>2034</v>
      </c>
      <c r="I47" s="430">
        <f t="shared" si="41"/>
        <v>7746036.7751498427</v>
      </c>
      <c r="J47" s="430">
        <f>'Emissions Total'!J48*('Default Values'!B50/10000000)</f>
        <v>5629096.7307122434</v>
      </c>
      <c r="K47" s="430">
        <f>'Emissions Total'!K48*('Default Values'!C50/10000000)</f>
        <v>1317022.6721155266</v>
      </c>
      <c r="L47" s="430">
        <f>'Emissions Total'!L48*('Default Values'!D50/10000000)</f>
        <v>39327.173743970605</v>
      </c>
      <c r="M47" s="430">
        <f>'Emissions Total'!M48*('Default Values'!E50/10000000)</f>
        <v>760590.19857810286</v>
      </c>
      <c r="O47" s="327">
        <v>2034</v>
      </c>
      <c r="P47" s="429">
        <f t="shared" si="42"/>
        <v>26062.307900392821</v>
      </c>
      <c r="Q47" s="429">
        <f t="shared" si="43"/>
        <v>18939.653458342887</v>
      </c>
      <c r="R47" s="429">
        <f t="shared" si="43"/>
        <v>4431.2532187544275</v>
      </c>
      <c r="S47" s="429">
        <f t="shared" si="43"/>
        <v>132.32017103968974</v>
      </c>
      <c r="T47" s="429">
        <f t="shared" si="43"/>
        <v>2559.0810522558168</v>
      </c>
    </row>
    <row r="48" spans="1:20">
      <c r="A48" s="327">
        <v>2035</v>
      </c>
      <c r="B48" s="430">
        <f t="shared" si="40"/>
        <v>7662088.105515427</v>
      </c>
      <c r="C48" s="430">
        <f>'Emissions Total'!C49*('Default Values'!B51/10000000)</f>
        <v>5653708.3497101003</v>
      </c>
      <c r="D48" s="430">
        <f>'Emissions Total'!D49*('Default Values'!C51/10000000)</f>
        <v>1246694.2548413065</v>
      </c>
      <c r="E48" s="430">
        <f>'Emissions Total'!E49*('Default Values'!D51/10000000)</f>
        <v>38905.765809824916</v>
      </c>
      <c r="F48" s="430">
        <f>'Emissions Total'!F49*('Default Values'!E51/10000000)</f>
        <v>722779.73515419546</v>
      </c>
      <c r="H48" s="327">
        <v>2035</v>
      </c>
      <c r="I48" s="430">
        <f t="shared" si="41"/>
        <v>7688204.1532052625</v>
      </c>
      <c r="J48" s="430">
        <f>'Emissions Total'!J49*('Default Values'!B51/10000000)</f>
        <v>5672978.8820835361</v>
      </c>
      <c r="K48" s="430">
        <f>'Emissions Total'!K49*('Default Values'!C51/10000000)</f>
        <v>1250943.5829834146</v>
      </c>
      <c r="L48" s="430">
        <f>'Emissions Total'!L49*('Default Values'!D51/10000000)</f>
        <v>39038.375200542774</v>
      </c>
      <c r="M48" s="430">
        <f>'Emissions Total'!M49*('Default Values'!E51/10000000)</f>
        <v>725243.31293776934</v>
      </c>
      <c r="O48" s="327">
        <v>2035</v>
      </c>
      <c r="P48" s="429">
        <f t="shared" si="42"/>
        <v>26116.047689835701</v>
      </c>
      <c r="Q48" s="429">
        <f t="shared" si="43"/>
        <v>19270.532373435795</v>
      </c>
      <c r="R48" s="429">
        <f t="shared" si="43"/>
        <v>4249.3281421081629</v>
      </c>
      <c r="S48" s="429">
        <f t="shared" si="43"/>
        <v>132.60939071785833</v>
      </c>
      <c r="T48" s="429">
        <f t="shared" si="43"/>
        <v>2463.5777835738845</v>
      </c>
    </row>
    <row r="49" spans="1:20">
      <c r="A49" s="327">
        <v>2036</v>
      </c>
      <c r="B49" s="430">
        <f t="shared" si="40"/>
        <v>7691989.8807538738</v>
      </c>
      <c r="C49" s="430">
        <f>'Emissions Total'!C50*('Default Values'!B52/10000000)</f>
        <v>5780098.0087272581</v>
      </c>
      <c r="D49" s="430">
        <f>'Emissions Total'!D50*('Default Values'!C52/10000000)</f>
        <v>1184105.3831973535</v>
      </c>
      <c r="E49" s="430">
        <f>'Emissions Total'!E50*('Default Values'!D52/10000000)</f>
        <v>38618.810258658996</v>
      </c>
      <c r="F49" s="430">
        <f>'Emissions Total'!F50*('Default Values'!E52/10000000)</f>
        <v>689167.6785706043</v>
      </c>
      <c r="H49" s="327">
        <v>2036</v>
      </c>
      <c r="I49" s="430">
        <f t="shared" si="41"/>
        <v>7718457.9901223332</v>
      </c>
      <c r="J49" s="430">
        <f>'Emissions Total'!J50*('Default Values'!B52/10000000)</f>
        <v>5799987.305076723</v>
      </c>
      <c r="K49" s="430">
        <f>'Emissions Total'!K50*('Default Values'!C52/10000000)</f>
        <v>1188179.8855396749</v>
      </c>
      <c r="L49" s="430">
        <f>'Emissions Total'!L50*('Default Values'!D52/10000000)</f>
        <v>38751.697445128579</v>
      </c>
      <c r="M49" s="430">
        <f>'Emissions Total'!M50*('Default Values'!E52/10000000)</f>
        <v>691539.10206080589</v>
      </c>
      <c r="O49" s="327">
        <v>2036</v>
      </c>
      <c r="P49" s="429">
        <f t="shared" ref="P49:P50" si="44">SUM(Q49:T49)</f>
        <v>26468.109368457532</v>
      </c>
      <c r="Q49" s="429">
        <f t="shared" ref="Q49:Q50" si="45">J49-C49</f>
        <v>19889.296349464916</v>
      </c>
      <c r="R49" s="429">
        <f t="shared" ref="R49:R50" si="46">K49-D49</f>
        <v>4074.5023423214443</v>
      </c>
      <c r="S49" s="429">
        <f t="shared" ref="S49:S50" si="47">L49-E49</f>
        <v>132.88718646958296</v>
      </c>
      <c r="T49" s="429">
        <f t="shared" ref="T49:T50" si="48">M49-F49</f>
        <v>2371.4234902015887</v>
      </c>
    </row>
    <row r="50" spans="1:20">
      <c r="A50" s="327">
        <v>2037</v>
      </c>
      <c r="B50" s="430">
        <f t="shared" si="40"/>
        <v>7641299.9275313132</v>
      </c>
      <c r="C50" s="430">
        <f>'Emissions Total'!C51*('Default Values'!B53/10000000)</f>
        <v>5821188.5286654355</v>
      </c>
      <c r="D50" s="430">
        <f>'Emissions Total'!D51*('Default Values'!C53/10000000)</f>
        <v>1124658.7148951183</v>
      </c>
      <c r="E50" s="430">
        <f>'Emissions Total'!E51*('Default Values'!D53/10000000)</f>
        <v>38333.971192971017</v>
      </c>
      <c r="F50" s="430">
        <f>'Emissions Total'!F51*('Default Values'!E53/10000000)</f>
        <v>657118.7127777884</v>
      </c>
      <c r="H50" s="327">
        <v>2037</v>
      </c>
      <c r="I50" s="430">
        <f t="shared" si="41"/>
        <v>7667842.1147577222</v>
      </c>
      <c r="J50" s="430">
        <f>'Emissions Total'!J51*('Default Values'!B53/10000000)</f>
        <v>5841408.5275234012</v>
      </c>
      <c r="K50" s="430">
        <f>'Emissions Total'!K51*('Default Values'!C53/10000000)</f>
        <v>1128565.2363586989</v>
      </c>
      <c r="L50" s="430">
        <f>'Emissions Total'!L51*('Default Values'!D53/10000000)</f>
        <v>38467.124903751261</v>
      </c>
      <c r="M50" s="430">
        <f>'Emissions Total'!M51*('Default Values'!E53/10000000)</f>
        <v>659401.22597187001</v>
      </c>
      <c r="O50" s="327">
        <v>2037</v>
      </c>
      <c r="P50" s="429">
        <f t="shared" si="44"/>
        <v>26542.187226408205</v>
      </c>
      <c r="Q50" s="429">
        <f t="shared" si="45"/>
        <v>20219.998857965693</v>
      </c>
      <c r="R50" s="429">
        <f t="shared" si="46"/>
        <v>3906.5214635806624</v>
      </c>
      <c r="S50" s="429">
        <f t="shared" si="47"/>
        <v>133.15371078024327</v>
      </c>
      <c r="T50" s="429">
        <f t="shared" si="48"/>
        <v>2282.5131940816063</v>
      </c>
    </row>
    <row r="51" spans="1:20">
      <c r="A51" s="327">
        <v>2038</v>
      </c>
      <c r="B51" s="430">
        <f t="shared" si="40"/>
        <v>7794275.4570667641</v>
      </c>
      <c r="C51" s="430">
        <f>'Emissions Total'!C52*('Default Values'!B54/10000000)</f>
        <v>6004047.4047178207</v>
      </c>
      <c r="D51" s="430">
        <f>'Emissions Total'!D52*('Default Values'!C54/10000000)</f>
        <v>1090375.3738594069</v>
      </c>
      <c r="E51" s="430">
        <f>'Emissions Total'!E52*('Default Values'!D54/10000000)</f>
        <v>38483.633377317892</v>
      </c>
      <c r="F51" s="430">
        <f>'Emissions Total'!F52*('Default Values'!E54/10000000)</f>
        <v>661369.04511221906</v>
      </c>
      <c r="H51" s="327">
        <v>2038</v>
      </c>
      <c r="I51" s="430">
        <f t="shared" si="41"/>
        <v>7821602.4923538445</v>
      </c>
      <c r="J51" s="430">
        <f>'Emissions Total'!J52*('Default Values'!B54/10000000)</f>
        <v>6025097.8302766541</v>
      </c>
      <c r="K51" s="430">
        <f>'Emissions Total'!K52*('Default Values'!C54/10000000)</f>
        <v>1094198.2726627337</v>
      </c>
      <c r="L51" s="430">
        <f>'Emissions Total'!L52*('Default Values'!D54/10000000)</f>
        <v>38618.558504492292</v>
      </c>
      <c r="M51" s="430">
        <f>'Emissions Total'!M52*('Default Values'!E54/10000000)</f>
        <v>663687.83090996463</v>
      </c>
      <c r="O51" s="327">
        <v>2038</v>
      </c>
      <c r="P51" s="429">
        <f t="shared" ref="P51:P61" si="49">SUM(Q51:T51)</f>
        <v>27327.035287080143</v>
      </c>
      <c r="Q51" s="429">
        <f t="shared" ref="Q51:Q61" si="50">J51-C51</f>
        <v>21050.425558833405</v>
      </c>
      <c r="R51" s="429">
        <f t="shared" ref="R51:R61" si="51">K51-D51</f>
        <v>3822.8988033267669</v>
      </c>
      <c r="S51" s="429">
        <f t="shared" ref="S51:S61" si="52">L51-E51</f>
        <v>134.92512717439968</v>
      </c>
      <c r="T51" s="429">
        <f t="shared" ref="T51:T61" si="53">M51-F51</f>
        <v>2318.7857977455715</v>
      </c>
    </row>
    <row r="52" spans="1:20">
      <c r="A52" s="327">
        <v>2039</v>
      </c>
      <c r="B52" s="430">
        <f t="shared" si="40"/>
        <v>7664795.045689391</v>
      </c>
      <c r="C52" s="430">
        <f>'Emissions Total'!C53*('Default Values'!B55/10000000)</f>
        <v>5960348.1165256277</v>
      </c>
      <c r="D52" s="430">
        <f>'Emissions Total'!D53*('Default Values'!C55/10000000)</f>
        <v>1035634.3144110332</v>
      </c>
      <c r="E52" s="430">
        <f>'Emissions Total'!E53*('Default Values'!D55/10000000)</f>
        <v>38199.791329827167</v>
      </c>
      <c r="F52" s="430">
        <f>'Emissions Total'!F53*('Default Values'!E55/10000000)</f>
        <v>630612.82342290296</v>
      </c>
      <c r="H52" s="327">
        <v>2039</v>
      </c>
      <c r="I52" s="430">
        <f t="shared" si="41"/>
        <v>7691917.3996215751</v>
      </c>
      <c r="J52" s="430">
        <f>'Emissions Total'!J53*('Default Values'!B55/10000000)</f>
        <v>5981439.1790017663</v>
      </c>
      <c r="K52" s="430">
        <f>'Emissions Total'!K53*('Default Values'!C55/10000000)</f>
        <v>1039298.9708372435</v>
      </c>
      <c r="L52" s="430">
        <f>'Emissions Total'!L53*('Default Values'!D55/10000000)</f>
        <v>38334.963667039992</v>
      </c>
      <c r="M52" s="430">
        <f>'Emissions Total'!M53*('Default Values'!E55/10000000)</f>
        <v>632844.28611552506</v>
      </c>
      <c r="O52" s="327">
        <v>2039</v>
      </c>
      <c r="P52" s="429">
        <f t="shared" si="49"/>
        <v>27122.353932183811</v>
      </c>
      <c r="Q52" s="429">
        <f t="shared" si="50"/>
        <v>21091.062476138584</v>
      </c>
      <c r="R52" s="429">
        <f t="shared" si="51"/>
        <v>3664.6564262103057</v>
      </c>
      <c r="S52" s="429">
        <f t="shared" si="52"/>
        <v>135.17233721282537</v>
      </c>
      <c r="T52" s="429">
        <f t="shared" si="53"/>
        <v>2231.4626926220953</v>
      </c>
    </row>
    <row r="53" spans="1:20">
      <c r="A53" s="327">
        <v>2040</v>
      </c>
      <c r="B53" s="430">
        <f t="shared" si="40"/>
        <v>7621993.3764438434</v>
      </c>
      <c r="C53" s="430">
        <f>'Emissions Total'!C54*('Default Values'!B56/10000000)</f>
        <v>5999146.9807069106</v>
      </c>
      <c r="D53" s="430">
        <f>'Emissions Total'!D54*('Default Values'!C56/10000000)</f>
        <v>983641.46779043437</v>
      </c>
      <c r="E53" s="430">
        <f>'Emissions Total'!E54*('Default Values'!D56/10000000)</f>
        <v>37918.042803681827</v>
      </c>
      <c r="F53" s="430">
        <f>'Emissions Total'!F54*('Default Values'!E56/10000000)</f>
        <v>601286.88514281693</v>
      </c>
      <c r="H53" s="327">
        <v>2040</v>
      </c>
      <c r="I53" s="430">
        <f t="shared" si="41"/>
        <v>7649212.1720463848</v>
      </c>
      <c r="J53" s="430">
        <f>'Emissions Total'!J54*('Default Values'!B56/10000000)</f>
        <v>6020570.4518899368</v>
      </c>
      <c r="K53" s="430">
        <f>'Emissions Total'!K54*('Default Values'!C56/10000000)</f>
        <v>987154.13629270776</v>
      </c>
      <c r="L53" s="430">
        <f>'Emissions Total'!L54*('Default Values'!D56/10000000)</f>
        <v>38053.451404260188</v>
      </c>
      <c r="M53" s="430">
        <f>'Emissions Total'!M54*('Default Values'!E56/10000000)</f>
        <v>603434.13245947973</v>
      </c>
      <c r="O53" s="327">
        <v>2040</v>
      </c>
      <c r="P53" s="429">
        <f t="shared" si="49"/>
        <v>27218.795602540762</v>
      </c>
      <c r="Q53" s="429">
        <f t="shared" si="50"/>
        <v>21423.471183026209</v>
      </c>
      <c r="R53" s="429">
        <f t="shared" si="51"/>
        <v>3512.6685022733873</v>
      </c>
      <c r="S53" s="429">
        <f t="shared" si="52"/>
        <v>135.40860057836107</v>
      </c>
      <c r="T53" s="429">
        <f t="shared" si="53"/>
        <v>2147.2473166628042</v>
      </c>
    </row>
    <row r="54" spans="1:20">
      <c r="A54" s="327">
        <v>2041</v>
      </c>
      <c r="B54" s="430">
        <f t="shared" si="40"/>
        <v>7582287.2751221294</v>
      </c>
      <c r="C54" s="430">
        <f>'Emissions Total'!C55*('Default Values'!B57/10000000)</f>
        <v>6037065.3231212161</v>
      </c>
      <c r="D54" s="430">
        <f>'Emissions Total'!D55*('Default Values'!C57/10000000)</f>
        <v>934258.86308833596</v>
      </c>
      <c r="E54" s="430">
        <f>'Emissions Total'!E55*('Default Values'!D57/10000000)</f>
        <v>37638.372357788285</v>
      </c>
      <c r="F54" s="430">
        <f>'Emissions Total'!F55*('Default Values'!E57/10000000)</f>
        <v>573324.71655478911</v>
      </c>
      <c r="H54" s="327">
        <v>2041</v>
      </c>
      <c r="I54" s="430">
        <f t="shared" si="41"/>
        <v>7609610.8914411198</v>
      </c>
      <c r="J54" s="430">
        <f>'Emissions Total'!J55*('Default Values'!B57/10000000)</f>
        <v>6058820.5601092512</v>
      </c>
      <c r="K54" s="430">
        <f>'Emissions Total'!K55*('Default Values'!C57/10000000)</f>
        <v>937625.56891091797</v>
      </c>
      <c r="L54" s="430">
        <f>'Emissions Total'!L55*('Default Values'!D57/10000000)</f>
        <v>37774.006422795268</v>
      </c>
      <c r="M54" s="430">
        <f>'Emissions Total'!M55*('Default Values'!E57/10000000)</f>
        <v>575390.75599815557</v>
      </c>
      <c r="O54" s="327">
        <v>2041</v>
      </c>
      <c r="P54" s="429">
        <f t="shared" si="49"/>
        <v>27323.616318990484</v>
      </c>
      <c r="Q54" s="429">
        <f t="shared" si="50"/>
        <v>21755.236988035031</v>
      </c>
      <c r="R54" s="429">
        <f t="shared" si="51"/>
        <v>3366.7058225820074</v>
      </c>
      <c r="S54" s="429">
        <f t="shared" si="52"/>
        <v>135.63406500698329</v>
      </c>
      <c r="T54" s="429">
        <f t="shared" si="53"/>
        <v>2066.0394433664624</v>
      </c>
    </row>
    <row r="55" spans="1:20">
      <c r="A55" s="327">
        <v>2042</v>
      </c>
      <c r="B55" s="430">
        <f t="shared" si="40"/>
        <v>7545493.0236807298</v>
      </c>
      <c r="C55" s="430">
        <f>'Emissions Total'!C56*('Default Values'!B58/10000000)</f>
        <v>6074113.9058601828</v>
      </c>
      <c r="D55" s="430">
        <f>'Emissions Total'!D56*('Default Values'!C58/10000000)</f>
        <v>887355.45606854127</v>
      </c>
      <c r="E55" s="430">
        <f>'Emissions Total'!E56*('Default Values'!D58/10000000)</f>
        <v>37360.764664941125</v>
      </c>
      <c r="F55" s="430">
        <f>'Emissions Total'!F56*('Default Values'!E58/10000000)</f>
        <v>546662.89708706457</v>
      </c>
      <c r="H55" s="327">
        <v>2042</v>
      </c>
      <c r="I55" s="430">
        <f t="shared" si="41"/>
        <v>7572929.4736638367</v>
      </c>
      <c r="J55" s="430">
        <f>'Emissions Total'!J56*('Default Values'!B58/10000000)</f>
        <v>6096200.219086742</v>
      </c>
      <c r="K55" s="430">
        <f>'Emissions Total'!K56*('Default Values'!C58/10000000)</f>
        <v>890582.00249980239</v>
      </c>
      <c r="L55" s="430">
        <f>'Emissions Total'!L56*('Default Values'!D58/10000000)</f>
        <v>37496.613541594161</v>
      </c>
      <c r="M55" s="430">
        <f>'Emissions Total'!M56*('Default Values'!E58/10000000)</f>
        <v>548650.63853569876</v>
      </c>
      <c r="O55" s="327">
        <v>2042</v>
      </c>
      <c r="P55" s="429">
        <f t="shared" si="49"/>
        <v>27436.449983107537</v>
      </c>
      <c r="Q55" s="429">
        <f t="shared" si="50"/>
        <v>22086.313226559199</v>
      </c>
      <c r="R55" s="429">
        <f t="shared" si="51"/>
        <v>3226.5464312611148</v>
      </c>
      <c r="S55" s="429">
        <f t="shared" si="52"/>
        <v>135.8488766530354</v>
      </c>
      <c r="T55" s="429">
        <f t="shared" si="53"/>
        <v>1987.7414486341877</v>
      </c>
    </row>
    <row r="56" spans="1:20">
      <c r="A56" s="327">
        <v>2043</v>
      </c>
      <c r="B56" s="430">
        <f t="shared" si="40"/>
        <v>7591835.0511009768</v>
      </c>
      <c r="C56" s="430">
        <f>'Emissions Total'!C57*('Default Values'!B59/10000000)</f>
        <v>6190702.1096977675</v>
      </c>
      <c r="D56" s="430">
        <f>'Emissions Total'!D57*('Default Values'!C59/10000000)</f>
        <v>842806.78142216196</v>
      </c>
      <c r="E56" s="430">
        <f>'Emissions Total'!E57*('Default Values'!D59/10000000)</f>
        <v>37085.204510983145</v>
      </c>
      <c r="F56" s="430">
        <f>'Emissions Total'!F57*('Default Values'!E59/10000000)</f>
        <v>521240.955470065</v>
      </c>
      <c r="H56" s="327">
        <v>2043</v>
      </c>
      <c r="I56" s="430">
        <f t="shared" si="41"/>
        <v>7619686.9482430089</v>
      </c>
      <c r="J56" s="430">
        <f>'Emissions Total'!J57*('Default Values'!B59/10000000)</f>
        <v>6213413.7198994746</v>
      </c>
      <c r="K56" s="430">
        <f>'Emissions Total'!K57*('Default Values'!C59/10000000)</f>
        <v>845898.756896968</v>
      </c>
      <c r="L56" s="430">
        <f>'Emissions Total'!L57*('Default Values'!D59/10000000)</f>
        <v>37221.257691087645</v>
      </c>
      <c r="M56" s="430">
        <f>'Emissions Total'!M57*('Default Values'!E59/10000000)</f>
        <v>523153.21375547937</v>
      </c>
      <c r="O56" s="327">
        <v>2043</v>
      </c>
      <c r="P56" s="429">
        <f t="shared" si="49"/>
        <v>27851.897142032016</v>
      </c>
      <c r="Q56" s="429">
        <f t="shared" si="50"/>
        <v>22711.61020170711</v>
      </c>
      <c r="R56" s="429">
        <f t="shared" si="51"/>
        <v>3091.9754748060368</v>
      </c>
      <c r="S56" s="429">
        <f t="shared" si="52"/>
        <v>136.05318010449992</v>
      </c>
      <c r="T56" s="429">
        <f t="shared" si="53"/>
        <v>1912.2582854143693</v>
      </c>
    </row>
    <row r="57" spans="1:20">
      <c r="A57" s="327">
        <v>2044</v>
      </c>
      <c r="B57" s="430">
        <f t="shared" si="40"/>
        <v>7559765.3857201608</v>
      </c>
      <c r="C57" s="430">
        <f>'Emissions Total'!C58*('Default Values'!B60/10000000)</f>
        <v>6225457.8538637394</v>
      </c>
      <c r="D57" s="430">
        <f>'Emissions Total'!D58*('Default Values'!C60/10000000)</f>
        <v>800494.62248003262</v>
      </c>
      <c r="E57" s="430">
        <f>'Emissions Total'!E58*('Default Values'!D60/10000000)</f>
        <v>36811.676793971528</v>
      </c>
      <c r="F57" s="430">
        <f>'Emissions Total'!F58*('Default Values'!E60/10000000)</f>
        <v>497001.23258241755</v>
      </c>
      <c r="H57" s="327">
        <v>2044</v>
      </c>
      <c r="I57" s="430">
        <f t="shared" si="41"/>
        <v>7587745.5360223353</v>
      </c>
      <c r="J57" s="430">
        <f>'Emissions Total'!J58*('Default Values'!B60/10000000)</f>
        <v>6248499.4745441899</v>
      </c>
      <c r="K57" s="430">
        <f>'Emissions Total'!K58*('Default Values'!C60/10000000)</f>
        <v>803457.40752828063</v>
      </c>
      <c r="L57" s="430">
        <f>'Emissions Total'!L58*('Default Values'!D60/10000000)</f>
        <v>36947.923912369668</v>
      </c>
      <c r="M57" s="430">
        <f>'Emissions Total'!M58*('Default Values'!E60/10000000)</f>
        <v>498840.73003749596</v>
      </c>
      <c r="O57" s="327">
        <v>2044</v>
      </c>
      <c r="P57" s="429">
        <f t="shared" si="49"/>
        <v>27980.150302175025</v>
      </c>
      <c r="Q57" s="429">
        <f t="shared" si="50"/>
        <v>23041.620680450462</v>
      </c>
      <c r="R57" s="429">
        <f t="shared" si="51"/>
        <v>2962.7850482480135</v>
      </c>
      <c r="S57" s="429">
        <f t="shared" si="52"/>
        <v>136.24711839813972</v>
      </c>
      <c r="T57" s="429">
        <f t="shared" si="53"/>
        <v>1839.49745507841</v>
      </c>
    </row>
    <row r="58" spans="1:20">
      <c r="A58" s="327">
        <v>2045</v>
      </c>
      <c r="B58" s="430">
        <f t="shared" si="40"/>
        <v>7530115.3423805172</v>
      </c>
      <c r="C58" s="430">
        <f>'Emissions Total'!C59*('Default Values'!B61/10000000)</f>
        <v>6259379.7276751576</v>
      </c>
      <c r="D58" s="430">
        <f>'Emissions Total'!D59*('Default Values'!C61/10000000)</f>
        <v>760306.69750683615</v>
      </c>
      <c r="E58" s="430">
        <f>'Emissions Total'!E59*('Default Values'!D61/10000000)</f>
        <v>36540.166523350192</v>
      </c>
      <c r="F58" s="430">
        <f>'Emissions Total'!F59*('Default Values'!E61/10000000)</f>
        <v>473888.75067517249</v>
      </c>
      <c r="H58" s="327">
        <v>2045</v>
      </c>
      <c r="I58" s="430">
        <f t="shared" si="41"/>
        <v>7558230.7016345672</v>
      </c>
      <c r="J58" s="430">
        <f>'Emissions Total'!J59*('Default Values'!B61/10000000)</f>
        <v>6282750.5130814109</v>
      </c>
      <c r="K58" s="430">
        <f>'Emissions Total'!K59*('Default Values'!C61/10000000)</f>
        <v>763145.47154570871</v>
      </c>
      <c r="L58" s="430">
        <f>'Emissions Total'!L59*('Default Values'!D61/10000000)</f>
        <v>36676.597356384686</v>
      </c>
      <c r="M58" s="430">
        <f>'Emissions Total'!M59*('Default Values'!E61/10000000)</f>
        <v>475658.11965106305</v>
      </c>
      <c r="O58" s="327">
        <v>2045</v>
      </c>
      <c r="P58" s="429">
        <f t="shared" si="49"/>
        <v>28115.359254050927</v>
      </c>
      <c r="Q58" s="429">
        <f t="shared" si="50"/>
        <v>23370.785406253301</v>
      </c>
      <c r="R58" s="429">
        <f t="shared" si="51"/>
        <v>2838.7740388725651</v>
      </c>
      <c r="S58" s="429">
        <f t="shared" si="52"/>
        <v>136.43083303449384</v>
      </c>
      <c r="T58" s="429">
        <f t="shared" si="53"/>
        <v>1769.3689758905675</v>
      </c>
    </row>
    <row r="59" spans="1:20">
      <c r="A59" s="327">
        <v>2046</v>
      </c>
      <c r="B59" s="430">
        <f t="shared" si="40"/>
        <v>7502736.1375575736</v>
      </c>
      <c r="C59" s="430">
        <f>'Emissions Total'!C60*('Default Values'!B62/10000000)</f>
        <v>6292478.0283163637</v>
      </c>
      <c r="D59" s="430">
        <f>'Emissions Total'!D60*('Default Values'!C62/10000000)</f>
        <v>722136.36174447963</v>
      </c>
      <c r="E59" s="430">
        <f>'Emissions Total'!E60*('Default Values'!D62/10000000)</f>
        <v>36270.65881912825</v>
      </c>
      <c r="F59" s="430">
        <f>'Emissions Total'!F60*('Default Values'!E62/10000000)</f>
        <v>451851.08867760241</v>
      </c>
      <c r="H59" s="327">
        <v>2046</v>
      </c>
      <c r="I59" s="430">
        <f t="shared" si="41"/>
        <v>7530993.337231311</v>
      </c>
      <c r="J59" s="430">
        <f>'Emissions Total'!J60*('Default Values'!B62/10000000)</f>
        <v>6316177.0902090855</v>
      </c>
      <c r="K59" s="430">
        <f>'Emissions Total'!K60*('Default Values'!C62/10000000)</f>
        <v>724856.10971260176</v>
      </c>
      <c r="L59" s="430">
        <f>'Emissions Total'!L60*('Default Values'!D62/10000000)</f>
        <v>36407.263283120992</v>
      </c>
      <c r="M59" s="430">
        <f>'Emissions Total'!M60*('Default Values'!E62/10000000)</f>
        <v>453552.87402650248</v>
      </c>
      <c r="O59" s="327">
        <v>2046</v>
      </c>
      <c r="P59" s="429">
        <f t="shared" si="49"/>
        <v>28257.199673736744</v>
      </c>
      <c r="Q59" s="429">
        <f t="shared" si="50"/>
        <v>23699.061892721802</v>
      </c>
      <c r="R59" s="429">
        <f t="shared" si="51"/>
        <v>2719.7479681221303</v>
      </c>
      <c r="S59" s="429">
        <f t="shared" si="52"/>
        <v>136.60446399274224</v>
      </c>
      <c r="T59" s="429">
        <f t="shared" si="53"/>
        <v>1701.7853489000699</v>
      </c>
    </row>
    <row r="60" spans="1:20">
      <c r="A60" s="327">
        <v>2047</v>
      </c>
      <c r="B60" s="430">
        <f t="shared" si="40"/>
        <v>7477486.6738796989</v>
      </c>
      <c r="C60" s="430">
        <f>'Emissions Total'!C61*('Default Values'!B63/10000000)</f>
        <v>6324762.9472528249</v>
      </c>
      <c r="D60" s="430">
        <f>'Emissions Total'!D61*('Default Values'!C63/10000000)</f>
        <v>685882.32441404357</v>
      </c>
      <c r="E60" s="430">
        <f>'Emissions Total'!E61*('Default Values'!D63/10000000)</f>
        <v>36003.138911064496</v>
      </c>
      <c r="F60" s="430">
        <f>'Emissions Total'!F61*('Default Values'!E63/10000000)</f>
        <v>430838.26330176537</v>
      </c>
      <c r="H60" s="327">
        <v>2047</v>
      </c>
      <c r="I60" s="430">
        <f t="shared" si="41"/>
        <v>7505892.0309697837</v>
      </c>
      <c r="J60" s="430">
        <f>'Emissions Total'!J61*('Default Values'!B63/10000000)</f>
        <v>6348789.35583934</v>
      </c>
      <c r="K60" s="430">
        <f>'Emissions Total'!K61*('Default Values'!C63/10000000)</f>
        <v>688487.84324630245</v>
      </c>
      <c r="L60" s="430">
        <f>'Emissions Total'!L61*('Default Values'!D63/10000000)</f>
        <v>36139.907060809936</v>
      </c>
      <c r="M60" s="430">
        <f>'Emissions Total'!M61*('Default Values'!E63/10000000)</f>
        <v>432474.92482333101</v>
      </c>
      <c r="O60" s="327">
        <v>2047</v>
      </c>
      <c r="P60" s="429">
        <f t="shared" si="49"/>
        <v>28405.357090085068</v>
      </c>
      <c r="Q60" s="429">
        <f t="shared" si="50"/>
        <v>24026.408586515114</v>
      </c>
      <c r="R60" s="429">
        <f t="shared" si="51"/>
        <v>2605.5188322588801</v>
      </c>
      <c r="S60" s="429">
        <f t="shared" si="52"/>
        <v>136.76814974543959</v>
      </c>
      <c r="T60" s="429">
        <f t="shared" si="53"/>
        <v>1636.6615215656348</v>
      </c>
    </row>
    <row r="61" spans="1:20">
      <c r="A61" s="327">
        <v>2048</v>
      </c>
      <c r="B61" s="430">
        <f t="shared" si="40"/>
        <v>7454233.1589639047</v>
      </c>
      <c r="C61" s="430">
        <f>'Emissions Total'!C62*('Default Values'!B64/10000000)</f>
        <v>6356244.5712245554</v>
      </c>
      <c r="D61" s="430">
        <f>'Emissions Total'!D62*('Default Values'!C64/10000000)</f>
        <v>651448.37992532749</v>
      </c>
      <c r="E61" s="430">
        <f>'Emissions Total'!E62*('Default Values'!D64/10000000)</f>
        <v>35737.592137857973</v>
      </c>
      <c r="F61" s="430">
        <f>'Emissions Total'!F62*('Default Values'!E64/10000000)</f>
        <v>410802.61567616381</v>
      </c>
      <c r="H61" s="327">
        <v>2048</v>
      </c>
      <c r="I61" s="430">
        <f t="shared" si="41"/>
        <v>7482792.6856369497</v>
      </c>
      <c r="J61" s="430">
        <f>'Emissions Total'!J62*('Default Values'!B64/10000000)</f>
        <v>6380597.3560786201</v>
      </c>
      <c r="K61" s="430">
        <f>'Emissions Total'!K62*('Default Values'!C64/10000000)</f>
        <v>653944.28486763756</v>
      </c>
      <c r="L61" s="430">
        <f>'Emissions Total'!L62*('Default Values'!D64/10000000)</f>
        <v>35874.514165131055</v>
      </c>
      <c r="M61" s="430">
        <f>'Emissions Total'!M62*('Default Values'!E64/10000000)</f>
        <v>412376.53052556072</v>
      </c>
      <c r="O61" s="327">
        <v>2048</v>
      </c>
      <c r="P61" s="429">
        <f t="shared" si="49"/>
        <v>28559.526673044755</v>
      </c>
      <c r="Q61" s="429">
        <f t="shared" si="50"/>
        <v>24352.784854064696</v>
      </c>
      <c r="R61" s="429">
        <f t="shared" si="51"/>
        <v>2495.904942310066</v>
      </c>
      <c r="S61" s="429">
        <f t="shared" si="52"/>
        <v>136.92202727308177</v>
      </c>
      <c r="T61" s="429">
        <f t="shared" si="53"/>
        <v>1573.9148493969114</v>
      </c>
    </row>
    <row r="62" spans="1:20">
      <c r="A62" s="327">
        <v>2049</v>
      </c>
      <c r="B62" s="430">
        <f t="shared" ref="B62:B67" si="54">SUM(C62:F62)</f>
        <v>7432848.7430091267</v>
      </c>
      <c r="C62" s="430">
        <f>'Emissions Total'!C63*('Default Values'!B65/10000000)</f>
        <v>6386932.8832306881</v>
      </c>
      <c r="D62" s="430">
        <f>'Emissions Total'!D63*('Default Values'!C65/10000000)</f>
        <v>618743.15258071467</v>
      </c>
      <c r="E62" s="430">
        <f>'Emissions Total'!E63*('Default Values'!D65/10000000)</f>
        <v>35474.003946344412</v>
      </c>
      <c r="F62" s="430">
        <f>'Emissions Total'!F63*('Default Values'!E65/10000000)</f>
        <v>391698.70325137954</v>
      </c>
      <c r="H62" s="327">
        <v>2049</v>
      </c>
      <c r="I62" s="430">
        <f t="shared" ref="I62:I67" si="55">SUM(J62:M62)</f>
        <v>7461568.1560293064</v>
      </c>
      <c r="J62" s="430">
        <f>'Emissions Total'!J63*('Default Values'!B65/10000000)</f>
        <v>6411611.0341991428</v>
      </c>
      <c r="K62" s="430">
        <f>'Emissions Total'!K63*('Default Values'!C65/10000000)</f>
        <v>621133.88334448647</v>
      </c>
      <c r="L62" s="430">
        <f>'Emissions Total'!L63*('Default Values'!D65/10000000)</f>
        <v>35611.070178423033</v>
      </c>
      <c r="M62" s="430">
        <f>'Emissions Total'!M63*('Default Values'!E65/10000000)</f>
        <v>393212.16830725409</v>
      </c>
      <c r="O62" s="327">
        <v>2049</v>
      </c>
      <c r="P62" s="429">
        <f t="shared" ref="P62:P67" si="56">SUM(Q62:T62)</f>
        <v>28719.413020179752</v>
      </c>
      <c r="Q62" s="429">
        <f t="shared" ref="Q62:Q67" si="57">J62-C62</f>
        <v>24678.150968454778</v>
      </c>
      <c r="R62" s="429">
        <f t="shared" ref="R62:R67" si="58">K62-D62</f>
        <v>2390.730763771804</v>
      </c>
      <c r="S62" s="429">
        <f t="shared" ref="S62:S67" si="59">L62-E62</f>
        <v>137.0662320786214</v>
      </c>
      <c r="T62" s="429">
        <f t="shared" ref="T62:T67" si="60">M62-F62</f>
        <v>1513.4650558745489</v>
      </c>
    </row>
    <row r="63" spans="1:20">
      <c r="A63" s="327">
        <v>2050</v>
      </c>
      <c r="B63" s="430">
        <f t="shared" si="54"/>
        <v>7590019.0275769858</v>
      </c>
      <c r="C63" s="430">
        <f>'Emissions Total'!C64*('Default Values'!B66/10000000)</f>
        <v>6558902.0885163648</v>
      </c>
      <c r="D63" s="430">
        <f>'Emissions Total'!D64*('Default Values'!C66/10000000)</f>
        <v>599911.60129561706</v>
      </c>
      <c r="E63" s="430">
        <f>'Emissions Total'!E64*('Default Values'!D66/10000000)</f>
        <v>35608.004383852603</v>
      </c>
      <c r="F63" s="430">
        <f>'Emissions Total'!F64*('Default Values'!E66/10000000)</f>
        <v>395597.33338115044</v>
      </c>
      <c r="H63" s="327">
        <v>2050</v>
      </c>
      <c r="I63" s="430">
        <f t="shared" si="55"/>
        <v>7518786.4783521295</v>
      </c>
      <c r="J63" s="430">
        <f>'Emissions Total'!J64*('Default Values'!B66/10000000)</f>
        <v>6518528.8057874357</v>
      </c>
      <c r="K63" s="430">
        <f>'Emissions Total'!K64*('Default Values'!C66/10000000)</f>
        <v>589969.68085238629</v>
      </c>
      <c r="L63" s="430">
        <f>'Emissions Total'!L64*('Default Values'!D66/10000000)</f>
        <v>35349.560788900439</v>
      </c>
      <c r="M63" s="430">
        <f>'Emissions Total'!M64*('Default Values'!E66/10000000)</f>
        <v>374938.43092340737</v>
      </c>
      <c r="O63" s="327">
        <v>2050</v>
      </c>
      <c r="P63" s="429">
        <f t="shared" si="56"/>
        <v>-71232.549224855087</v>
      </c>
      <c r="Q63" s="429">
        <f t="shared" si="57"/>
        <v>-40373.282728929073</v>
      </c>
      <c r="R63" s="429">
        <f t="shared" si="58"/>
        <v>-9941.9204432307743</v>
      </c>
      <c r="S63" s="429">
        <f t="shared" si="59"/>
        <v>-258.44359495216486</v>
      </c>
      <c r="T63" s="429">
        <f t="shared" si="60"/>
        <v>-20658.902457743068</v>
      </c>
    </row>
    <row r="64" spans="1:20">
      <c r="A64" s="327">
        <v>2051</v>
      </c>
      <c r="B64" s="430">
        <f t="shared" si="54"/>
        <v>7459886.7331978176</v>
      </c>
      <c r="C64" s="430">
        <f>'Emissions Total'!C65*('Default Values'!B67/10000000)</f>
        <v>6481954.0783772217</v>
      </c>
      <c r="D64" s="430">
        <f>'Emissions Total'!D65*('Default Values'!C67/10000000)</f>
        <v>567237.51663124526</v>
      </c>
      <c r="E64" s="430">
        <f>'Emissions Total'!E65*('Default Values'!D67/10000000)</f>
        <v>35186.805934227195</v>
      </c>
      <c r="F64" s="430">
        <f>'Emissions Total'!F65*('Default Values'!E67/10000000)</f>
        <v>375508.33225512342</v>
      </c>
      <c r="H64" s="327">
        <v>2051</v>
      </c>
      <c r="I64" s="430">
        <f t="shared" si="55"/>
        <v>7488953.3212781139</v>
      </c>
      <c r="J64" s="430">
        <f>'Emissions Total'!J65*('Default Values'!B67/10000000)</f>
        <v>6507210.2646827232</v>
      </c>
      <c r="K64" s="430">
        <f>'Emissions Total'!K65*('Default Values'!C67/10000000)</f>
        <v>569447.69217804517</v>
      </c>
      <c r="L64" s="430">
        <f>'Emissions Total'!L65*('Default Values'!D67/10000000)</f>
        <v>35323.907264385474</v>
      </c>
      <c r="M64" s="430">
        <f>'Emissions Total'!M65*('Default Values'!E67/10000000)</f>
        <v>376971.45715295954</v>
      </c>
      <c r="O64" s="327">
        <v>2051</v>
      </c>
      <c r="P64" s="429">
        <f t="shared" si="56"/>
        <v>29066.588080295805</v>
      </c>
      <c r="Q64" s="429">
        <f t="shared" si="57"/>
        <v>25256.186305501498</v>
      </c>
      <c r="R64" s="429">
        <f t="shared" si="58"/>
        <v>2210.1755467999028</v>
      </c>
      <c r="S64" s="429">
        <f t="shared" si="59"/>
        <v>137.10133015827887</v>
      </c>
      <c r="T64" s="429">
        <f t="shared" si="60"/>
        <v>1463.1248978361255</v>
      </c>
    </row>
    <row r="65" spans="1:31">
      <c r="A65" s="327">
        <v>2052</v>
      </c>
      <c r="B65" s="430">
        <f t="shared" si="54"/>
        <v>7333461.8999388767</v>
      </c>
      <c r="C65" s="430">
        <f>'Emissions Total'!C66*('Default Values'!B68/10000000)</f>
        <v>6405908.8102190485</v>
      </c>
      <c r="D65" s="430">
        <f>'Emissions Total'!D66*('Default Values'!C68/10000000)</f>
        <v>536343.02050349943</v>
      </c>
      <c r="E65" s="430">
        <f>'Emissions Total'!E66*('Default Values'!D68/10000000)</f>
        <v>34770.589738930175</v>
      </c>
      <c r="F65" s="430">
        <f>'Emissions Total'!F66*('Default Values'!E68/10000000)</f>
        <v>356439.4794773985</v>
      </c>
      <c r="H65" s="327">
        <v>2052</v>
      </c>
      <c r="I65" s="430">
        <f t="shared" si="55"/>
        <v>7362035.8882407993</v>
      </c>
      <c r="J65" s="430">
        <f>'Emissions Total'!J66*('Default Values'!B68/10000000)</f>
        <v>6430868.6949097849</v>
      </c>
      <c r="K65" s="430">
        <f>'Emissions Total'!K66*('Default Values'!C68/10000000)</f>
        <v>538432.81921013934</v>
      </c>
      <c r="L65" s="430">
        <f>'Emissions Total'!L66*('Default Values'!D68/10000000)</f>
        <v>34906.069330698352</v>
      </c>
      <c r="M65" s="430">
        <f>'Emissions Total'!M66*('Default Values'!E68/10000000)</f>
        <v>357828.30479017686</v>
      </c>
      <c r="O65" s="327">
        <v>2052</v>
      </c>
      <c r="P65" s="429">
        <f t="shared" si="56"/>
        <v>28573.988301922858</v>
      </c>
      <c r="Q65" s="429">
        <f t="shared" si="57"/>
        <v>24959.88469073642</v>
      </c>
      <c r="R65" s="429">
        <f t="shared" si="58"/>
        <v>2089.7987066399073</v>
      </c>
      <c r="S65" s="429">
        <f t="shared" si="59"/>
        <v>135.47959176817676</v>
      </c>
      <c r="T65" s="429">
        <f t="shared" si="60"/>
        <v>1388.8253127783537</v>
      </c>
      <c r="AC65" s="327" t="s">
        <v>1</v>
      </c>
      <c r="AD65" s="327" t="s">
        <v>252</v>
      </c>
      <c r="AE65" s="327" t="s">
        <v>253</v>
      </c>
    </row>
    <row r="66" spans="1:31">
      <c r="A66" s="327">
        <v>2053</v>
      </c>
      <c r="B66" s="430">
        <f t="shared" si="54"/>
        <v>7210585.1484488389</v>
      </c>
      <c r="C66" s="430">
        <f>'Emissions Total'!C67*('Default Values'!B69/10000000)</f>
        <v>6330755.6932145739</v>
      </c>
      <c r="D66" s="430">
        <f>'Emissions Total'!D67*('Default Values'!C69/10000000)</f>
        <v>507131.18792145082</v>
      </c>
      <c r="E66" s="430">
        <f>'Emissions Total'!E67*('Default Values'!D69/10000000)</f>
        <v>34359.296864083197</v>
      </c>
      <c r="F66" s="430">
        <f>'Emissions Total'!F67*('Default Values'!E69/10000000)</f>
        <v>338338.97044873185</v>
      </c>
      <c r="H66" s="327">
        <v>2053</v>
      </c>
      <c r="I66" s="430">
        <f t="shared" si="55"/>
        <v>7238680.3616636954</v>
      </c>
      <c r="J66" s="430">
        <f>'Emissions Total'!J67*('Default Values'!B69/10000000)</f>
        <v>6355422.7524545975</v>
      </c>
      <c r="K66" s="430">
        <f>'Emissions Total'!K67*('Default Values'!C69/10000000)</f>
        <v>509107.16609232384</v>
      </c>
      <c r="L66" s="430">
        <f>'Emissions Total'!L67*('Default Values'!D69/10000000)</f>
        <v>34493.173900611444</v>
      </c>
      <c r="M66" s="430">
        <f>'Emissions Total'!M67*('Default Values'!E69/10000000)</f>
        <v>339657.26921616227</v>
      </c>
      <c r="O66" s="327">
        <v>2053</v>
      </c>
      <c r="P66" s="429">
        <f t="shared" si="56"/>
        <v>28095.213214855285</v>
      </c>
      <c r="Q66" s="429">
        <f t="shared" si="57"/>
        <v>24667.059240023606</v>
      </c>
      <c r="R66" s="429">
        <f t="shared" si="58"/>
        <v>1975.9781708730152</v>
      </c>
      <c r="S66" s="429">
        <f t="shared" si="59"/>
        <v>133.87703652824712</v>
      </c>
      <c r="T66" s="429">
        <f t="shared" si="60"/>
        <v>1318.2987674304168</v>
      </c>
      <c r="AC66" s="327">
        <v>2020</v>
      </c>
      <c r="AD66" s="431">
        <v>1</v>
      </c>
      <c r="AE66" s="431">
        <v>1</v>
      </c>
    </row>
    <row r="67" spans="1:31">
      <c r="A67" s="327">
        <v>2054</v>
      </c>
      <c r="B67" s="430">
        <f t="shared" si="54"/>
        <v>7091105.1340387883</v>
      </c>
      <c r="C67" s="430">
        <f>'Emissions Total'!C68*('Default Values'!B70/10000000)</f>
        <v>6256484.2607864523</v>
      </c>
      <c r="D67" s="430">
        <f>'Emissions Total'!D68*('Default Values'!C70/10000000)</f>
        <v>479510.37289753248</v>
      </c>
      <c r="E67" s="430">
        <f>'Emissions Total'!E68*('Default Values'!D70/10000000)</f>
        <v>33952.869072922462</v>
      </c>
      <c r="F67" s="430">
        <f>'Emissions Total'!F68*('Default Values'!E70/10000000)</f>
        <v>321157.63128188078</v>
      </c>
      <c r="H67" s="327">
        <v>2054</v>
      </c>
      <c r="I67" s="430">
        <f t="shared" si="55"/>
        <v>7118734.8071607584</v>
      </c>
      <c r="J67" s="430">
        <f>'Emissions Total'!J68*('Default Values'!B70/10000000)</f>
        <v>6280861.9299580026</v>
      </c>
      <c r="K67" s="430">
        <f>'Emissions Total'!K68*('Default Values'!C70/10000000)</f>
        <v>481378.72974901338</v>
      </c>
      <c r="L67" s="430">
        <f>'Emissions Total'!L68*('Default Values'!D70/10000000)</f>
        <v>34085.162510448128</v>
      </c>
      <c r="M67" s="430">
        <f>'Emissions Total'!M68*('Default Values'!E70/10000000)</f>
        <v>322408.98494329385</v>
      </c>
      <c r="O67" s="327">
        <v>2054</v>
      </c>
      <c r="P67" s="429">
        <f t="shared" si="56"/>
        <v>27629.67312196995</v>
      </c>
      <c r="Q67" s="429">
        <f t="shared" si="57"/>
        <v>24377.669171550311</v>
      </c>
      <c r="R67" s="429">
        <f t="shared" si="58"/>
        <v>1868.3568514809012</v>
      </c>
      <c r="S67" s="429">
        <f t="shared" si="59"/>
        <v>132.29343752566638</v>
      </c>
      <c r="T67" s="429">
        <f t="shared" si="60"/>
        <v>1251.3536614130717</v>
      </c>
      <c r="AC67" s="327">
        <v>2021</v>
      </c>
      <c r="AD67" s="431">
        <f>AD66*1.07</f>
        <v>1.07</v>
      </c>
      <c r="AE67" s="431">
        <f>AE66*1.03</f>
        <v>1.03</v>
      </c>
    </row>
    <row r="68" spans="1:31">
      <c r="AC68" s="327">
        <v>2022</v>
      </c>
      <c r="AD68" s="431">
        <f t="shared" ref="AD68:AD100" si="61">AD67*1.07</f>
        <v>1.1449</v>
      </c>
      <c r="AE68" s="431">
        <f t="shared" ref="AE68:AE100" si="62">AE67*1.03</f>
        <v>1.0609</v>
      </c>
    </row>
    <row r="69" spans="1:31">
      <c r="A69" s="327" t="s">
        <v>35</v>
      </c>
      <c r="B69" s="502" t="s">
        <v>36</v>
      </c>
      <c r="C69" s="502"/>
      <c r="D69" s="502"/>
      <c r="E69" s="502"/>
      <c r="F69" s="502"/>
      <c r="H69" s="327"/>
      <c r="I69" s="502" t="s">
        <v>36</v>
      </c>
      <c r="J69" s="502"/>
      <c r="K69" s="502"/>
      <c r="L69" s="502"/>
      <c r="M69" s="502"/>
      <c r="O69" s="499" t="s">
        <v>43</v>
      </c>
      <c r="P69" s="499"/>
      <c r="Q69" s="499"/>
      <c r="R69" s="499"/>
      <c r="S69" s="499"/>
      <c r="T69" s="499"/>
      <c r="V69" s="499" t="s">
        <v>254</v>
      </c>
      <c r="W69" s="499"/>
      <c r="X69" s="499"/>
      <c r="Y69" s="499"/>
      <c r="Z69" s="499"/>
      <c r="AA69" s="499"/>
      <c r="AC69" s="327">
        <v>2023</v>
      </c>
      <c r="AD69" s="431">
        <f t="shared" si="61"/>
        <v>1.2250430000000001</v>
      </c>
      <c r="AE69" s="431">
        <f t="shared" si="62"/>
        <v>1.092727</v>
      </c>
    </row>
    <row r="70" spans="1:31" ht="15.6">
      <c r="A70" s="413" t="s">
        <v>3</v>
      </c>
      <c r="B70" s="423" t="s">
        <v>6</v>
      </c>
      <c r="C70" s="423" t="s">
        <v>27</v>
      </c>
      <c r="D70" s="423" t="s">
        <v>28</v>
      </c>
      <c r="E70" s="423" t="s">
        <v>29</v>
      </c>
      <c r="F70" s="423" t="s">
        <v>30</v>
      </c>
      <c r="H70" s="414" t="s">
        <v>2</v>
      </c>
      <c r="I70" s="423" t="s">
        <v>6</v>
      </c>
      <c r="J70" s="401" t="s">
        <v>27</v>
      </c>
      <c r="K70" s="401" t="s">
        <v>28</v>
      </c>
      <c r="L70" s="401" t="s">
        <v>29</v>
      </c>
      <c r="M70" s="401" t="s">
        <v>30</v>
      </c>
      <c r="O70" s="410"/>
      <c r="P70" s="423" t="s">
        <v>6</v>
      </c>
      <c r="Q70" s="401" t="s">
        <v>27</v>
      </c>
      <c r="R70" s="401" t="s">
        <v>28</v>
      </c>
      <c r="S70" s="401" t="s">
        <v>29</v>
      </c>
      <c r="T70" s="401" t="s">
        <v>30</v>
      </c>
      <c r="V70" s="410"/>
      <c r="W70" s="423" t="s">
        <v>6</v>
      </c>
      <c r="X70" s="401" t="s">
        <v>27</v>
      </c>
      <c r="Y70" s="401" t="s">
        <v>28</v>
      </c>
      <c r="Z70" s="401" t="s">
        <v>29</v>
      </c>
      <c r="AA70" s="401" t="s">
        <v>30</v>
      </c>
      <c r="AB70" s="409"/>
      <c r="AC70" s="327">
        <v>2024</v>
      </c>
      <c r="AD70" s="431">
        <f t="shared" si="61"/>
        <v>1.3107960100000002</v>
      </c>
      <c r="AE70" s="431">
        <f t="shared" si="62"/>
        <v>1.1255088100000001</v>
      </c>
    </row>
    <row r="71" spans="1:31">
      <c r="A71" s="327">
        <v>2025</v>
      </c>
      <c r="B71" s="430">
        <f t="shared" ref="B71:B74" si="63">SUM(C71:F71)</f>
        <v>28938005.516178437</v>
      </c>
      <c r="C71" s="430">
        <f t="shared" ref="C71:F100" si="64">C38+C5</f>
        <v>23432963.279607557</v>
      </c>
      <c r="D71" s="430">
        <f t="shared" si="64"/>
        <v>3038939.4413912063</v>
      </c>
      <c r="E71" s="430">
        <f t="shared" si="64"/>
        <v>183760.84730824851</v>
      </c>
      <c r="F71" s="430">
        <f t="shared" si="64"/>
        <v>2282341.9478714247</v>
      </c>
      <c r="H71" s="327">
        <v>2025</v>
      </c>
      <c r="I71" s="430">
        <f t="shared" ref="I71:I74" si="65">SUM(J71:M71)</f>
        <v>28873647.916233558</v>
      </c>
      <c r="J71" s="430">
        <f t="shared" ref="J71:M100" si="66">J38+J5</f>
        <v>23436407.639873099</v>
      </c>
      <c r="K71" s="430">
        <f t="shared" si="66"/>
        <v>3022659.8282799013</v>
      </c>
      <c r="L71" s="430">
        <f t="shared" si="66"/>
        <v>183997.11365117363</v>
      </c>
      <c r="M71" s="430">
        <f t="shared" si="66"/>
        <v>2230583.3344293842</v>
      </c>
      <c r="O71" s="327">
        <v>2025</v>
      </c>
      <c r="P71" s="429">
        <f t="shared" ref="P71:P74" si="67">SUM(Q71:T71)</f>
        <v>-64357.599944878632</v>
      </c>
      <c r="Q71" s="429">
        <f t="shared" ref="Q71:Q74" si="68">J71-C71</f>
        <v>3444.3602655418217</v>
      </c>
      <c r="R71" s="429">
        <f t="shared" ref="R71:R74" si="69">K71-D71</f>
        <v>-16279.613111305051</v>
      </c>
      <c r="S71" s="429">
        <f t="shared" ref="S71:S74" si="70">L71-E71</f>
        <v>236.26634292511153</v>
      </c>
      <c r="T71" s="429">
        <f t="shared" ref="T71:T74" si="71">M71-F71</f>
        <v>-51758.613442040514</v>
      </c>
      <c r="V71" s="327">
        <v>2025</v>
      </c>
      <c r="W71" s="429">
        <f t="shared" ref="W71:W74" si="72">SUM(X71:AA71)</f>
        <v>-45370.725150291219</v>
      </c>
      <c r="X71" s="429">
        <f t="shared" ref="X71:X100" si="73">Q71/AE71</f>
        <v>2971.1354216401469</v>
      </c>
      <c r="Y71" s="429">
        <f t="shared" ref="Y71:Y100" si="74">R71/AD71</f>
        <v>-11607.139155701621</v>
      </c>
      <c r="Z71" s="429">
        <f t="shared" ref="Z71:Z100" si="75">S71/AD71</f>
        <v>168.45463718275349</v>
      </c>
      <c r="AA71" s="429">
        <f t="shared" ref="AA71:AA100" si="76">T71/AD71</f>
        <v>-36903.176053412499</v>
      </c>
      <c r="AB71" s="432"/>
      <c r="AC71" s="327">
        <v>2025</v>
      </c>
      <c r="AD71" s="431">
        <f>AD70*1.07</f>
        <v>1.4025517307000004</v>
      </c>
      <c r="AE71" s="431">
        <f>AE70*1.03</f>
        <v>1.1592740743000001</v>
      </c>
    </row>
    <row r="72" spans="1:31">
      <c r="A72" s="327">
        <v>2026</v>
      </c>
      <c r="B72" s="430">
        <f t="shared" si="63"/>
        <v>28984970.664812624</v>
      </c>
      <c r="C72" s="430">
        <f t="shared" si="64"/>
        <v>23652774.880159892</v>
      </c>
      <c r="D72" s="430">
        <f t="shared" si="64"/>
        <v>2937368.0651041223</v>
      </c>
      <c r="E72" s="430">
        <f t="shared" si="64"/>
        <v>185457.04937627888</v>
      </c>
      <c r="F72" s="430">
        <f t="shared" si="64"/>
        <v>2209370.6701723309</v>
      </c>
      <c r="H72" s="327">
        <v>2026</v>
      </c>
      <c r="I72" s="430">
        <f t="shared" si="65"/>
        <v>28962599.001882289</v>
      </c>
      <c r="J72" s="430">
        <f t="shared" si="66"/>
        <v>23626777.44972083</v>
      </c>
      <c r="K72" s="430">
        <f t="shared" si="66"/>
        <v>2940609.604061373</v>
      </c>
      <c r="L72" s="430">
        <f t="shared" si="66"/>
        <v>185244.75752373534</v>
      </c>
      <c r="M72" s="430">
        <f t="shared" si="66"/>
        <v>2209967.1905763526</v>
      </c>
      <c r="O72" s="327">
        <v>2026</v>
      </c>
      <c r="P72" s="429">
        <f t="shared" si="67"/>
        <v>-22371.662930333463</v>
      </c>
      <c r="Q72" s="429">
        <f t="shared" si="68"/>
        <v>-25997.430439062417</v>
      </c>
      <c r="R72" s="429">
        <f t="shared" si="69"/>
        <v>3241.5389572507702</v>
      </c>
      <c r="S72" s="429">
        <f t="shared" si="70"/>
        <v>-212.29185254353797</v>
      </c>
      <c r="T72" s="429">
        <f t="shared" si="71"/>
        <v>596.52040402172133</v>
      </c>
      <c r="V72" s="327">
        <v>2026</v>
      </c>
      <c r="W72" s="429">
        <f t="shared" si="72"/>
        <v>-19356.436722135088</v>
      </c>
      <c r="X72" s="429">
        <f t="shared" si="73"/>
        <v>-21772.438706943194</v>
      </c>
      <c r="Y72" s="429">
        <f t="shared" si="74"/>
        <v>2159.9742773623366</v>
      </c>
      <c r="Z72" s="429">
        <f t="shared" si="75"/>
        <v>-141.45902512198822</v>
      </c>
      <c r="AA72" s="429">
        <f t="shared" si="76"/>
        <v>397.48673256775822</v>
      </c>
      <c r="AB72" s="432"/>
      <c r="AC72" s="327">
        <v>2026</v>
      </c>
      <c r="AD72" s="431">
        <f t="shared" si="61"/>
        <v>1.5007303518490005</v>
      </c>
      <c r="AE72" s="431">
        <f t="shared" si="62"/>
        <v>1.1940522965290001</v>
      </c>
    </row>
    <row r="73" spans="1:31">
      <c r="A73" s="327">
        <v>2027</v>
      </c>
      <c r="B73" s="430">
        <f t="shared" si="63"/>
        <v>29031170.190492999</v>
      </c>
      <c r="C73" s="430">
        <f t="shared" si="64"/>
        <v>23867307.512965523</v>
      </c>
      <c r="D73" s="430">
        <f t="shared" si="64"/>
        <v>2838287.3976042205</v>
      </c>
      <c r="E73" s="430">
        <f t="shared" si="64"/>
        <v>187111.60831516547</v>
      </c>
      <c r="F73" s="430">
        <f t="shared" si="64"/>
        <v>2138463.671608089</v>
      </c>
      <c r="H73" s="327">
        <v>2027</v>
      </c>
      <c r="I73" s="430">
        <f t="shared" si="65"/>
        <v>29007086.938988458</v>
      </c>
      <c r="J73" s="430">
        <f t="shared" si="66"/>
        <v>23839810.951077297</v>
      </c>
      <c r="K73" s="430">
        <f t="shared" si="66"/>
        <v>2841399.3128942121</v>
      </c>
      <c r="L73" s="430">
        <f t="shared" si="66"/>
        <v>186887.33625737578</v>
      </c>
      <c r="M73" s="430">
        <f t="shared" si="66"/>
        <v>2138989.3387595741</v>
      </c>
      <c r="O73" s="327">
        <v>2027</v>
      </c>
      <c r="P73" s="429">
        <f t="shared" si="67"/>
        <v>-24083.251504538435</v>
      </c>
      <c r="Q73" s="429">
        <f t="shared" si="68"/>
        <v>-27496.561888225377</v>
      </c>
      <c r="R73" s="429">
        <f t="shared" si="69"/>
        <v>3111.9152899915352</v>
      </c>
      <c r="S73" s="429">
        <f t="shared" si="70"/>
        <v>-224.27205778969801</v>
      </c>
      <c r="T73" s="429">
        <f t="shared" si="71"/>
        <v>525.66715148510411</v>
      </c>
      <c r="V73" s="327">
        <v>2027</v>
      </c>
      <c r="W73" s="429">
        <f t="shared" si="72"/>
        <v>-20231.582902030194</v>
      </c>
      <c r="X73" s="429">
        <f t="shared" si="73"/>
        <v>-22357.22106244323</v>
      </c>
      <c r="Y73" s="429">
        <f t="shared" si="74"/>
        <v>1937.9444436089404</v>
      </c>
      <c r="Z73" s="429">
        <f t="shared" si="75"/>
        <v>-139.66536610046049</v>
      </c>
      <c r="AA73" s="429">
        <f t="shared" si="76"/>
        <v>327.35908290455677</v>
      </c>
      <c r="AB73" s="432"/>
      <c r="AC73" s="327">
        <v>2027</v>
      </c>
      <c r="AD73" s="431">
        <f t="shared" si="61"/>
        <v>1.6057814764784306</v>
      </c>
      <c r="AE73" s="431">
        <f t="shared" si="62"/>
        <v>1.2298738654248702</v>
      </c>
    </row>
    <row r="74" spans="1:31">
      <c r="A74" s="327">
        <v>2028</v>
      </c>
      <c r="B74" s="430">
        <f t="shared" si="63"/>
        <v>29485212.653115071</v>
      </c>
      <c r="C74" s="430">
        <f t="shared" si="64"/>
        <v>24484712.728752743</v>
      </c>
      <c r="D74" s="430">
        <f t="shared" si="64"/>
        <v>2741705.8807455953</v>
      </c>
      <c r="E74" s="430">
        <f t="shared" si="64"/>
        <v>188725.10850304546</v>
      </c>
      <c r="F74" s="430">
        <f t="shared" si="64"/>
        <v>2070068.9351136889</v>
      </c>
      <c r="H74" s="327">
        <v>2028</v>
      </c>
      <c r="I74" s="430">
        <f t="shared" si="65"/>
        <v>29458919.406424649</v>
      </c>
      <c r="J74" s="430">
        <f t="shared" si="66"/>
        <v>24455210.260135826</v>
      </c>
      <c r="K74" s="430">
        <f t="shared" si="66"/>
        <v>2744692.5091651008</v>
      </c>
      <c r="L74" s="430">
        <f t="shared" si="66"/>
        <v>188488.73976470501</v>
      </c>
      <c r="M74" s="430">
        <f t="shared" si="66"/>
        <v>2070527.8973590177</v>
      </c>
      <c r="O74" s="327">
        <v>2028</v>
      </c>
      <c r="P74" s="429">
        <f t="shared" si="67"/>
        <v>-26293.246690423926</v>
      </c>
      <c r="Q74" s="429">
        <f t="shared" si="68"/>
        <v>-29502.468616917729</v>
      </c>
      <c r="R74" s="429">
        <f t="shared" si="69"/>
        <v>2986.6284195054322</v>
      </c>
      <c r="S74" s="429">
        <f t="shared" si="70"/>
        <v>-236.36873834044673</v>
      </c>
      <c r="T74" s="429">
        <f t="shared" si="71"/>
        <v>458.96224532881752</v>
      </c>
      <c r="V74" s="327">
        <v>2028</v>
      </c>
      <c r="W74" s="429">
        <f t="shared" si="72"/>
        <v>-21421.724781462792</v>
      </c>
      <c r="X74" s="429">
        <f t="shared" si="73"/>
        <v>-23289.521161251938</v>
      </c>
      <c r="Y74" s="429">
        <f t="shared" si="74"/>
        <v>1738.2449321048518</v>
      </c>
      <c r="Z74" s="429">
        <f t="shared" si="75"/>
        <v>-137.56875774869121</v>
      </c>
      <c r="AA74" s="429">
        <f t="shared" si="76"/>
        <v>267.12020543298445</v>
      </c>
      <c r="AB74" s="432"/>
      <c r="AC74" s="327">
        <v>2028</v>
      </c>
      <c r="AD74" s="431">
        <f t="shared" si="61"/>
        <v>1.7181861798319209</v>
      </c>
      <c r="AE74" s="431">
        <f t="shared" si="62"/>
        <v>1.2667700813876164</v>
      </c>
    </row>
    <row r="75" spans="1:31">
      <c r="A75" s="327">
        <v>2029</v>
      </c>
      <c r="B75" s="430">
        <f t="shared" ref="B75:B94" si="77">SUM(C75:F75)</f>
        <v>29527663.693683427</v>
      </c>
      <c r="C75" s="430">
        <f t="shared" si="64"/>
        <v>24685507.491647549</v>
      </c>
      <c r="D75" s="430">
        <f t="shared" si="64"/>
        <v>2647624.6994432807</v>
      </c>
      <c r="E75" s="430">
        <f t="shared" si="64"/>
        <v>190693.7575817944</v>
      </c>
      <c r="F75" s="430">
        <f t="shared" si="64"/>
        <v>2003837.7450108042</v>
      </c>
      <c r="H75" s="327">
        <v>2029</v>
      </c>
      <c r="I75" s="430">
        <f t="shared" ref="I75:I94" si="78">SUM(J75:M75)</f>
        <v>29499628.102993544</v>
      </c>
      <c r="J75" s="430">
        <f t="shared" si="66"/>
        <v>24654459.248977486</v>
      </c>
      <c r="K75" s="430">
        <f t="shared" si="66"/>
        <v>2650490.3049495989</v>
      </c>
      <c r="L75" s="430">
        <f t="shared" si="66"/>
        <v>190444.66505590832</v>
      </c>
      <c r="M75" s="430">
        <f t="shared" si="66"/>
        <v>2004233.8840105499</v>
      </c>
      <c r="O75" s="327">
        <v>2029</v>
      </c>
      <c r="P75" s="429">
        <f t="shared" ref="P75:P81" si="79">SUM(Q75:T75)</f>
        <v>-28035.590689885139</v>
      </c>
      <c r="Q75" s="429">
        <f t="shared" ref="Q75:T81" si="80">J75-C75</f>
        <v>-31048.242670062929</v>
      </c>
      <c r="R75" s="429">
        <f t="shared" si="80"/>
        <v>2865.6055063181557</v>
      </c>
      <c r="S75" s="429">
        <f t="shared" si="80"/>
        <v>-249.09252588608069</v>
      </c>
      <c r="T75" s="429">
        <f t="shared" si="80"/>
        <v>396.13899974571541</v>
      </c>
      <c r="V75" s="327">
        <v>2029</v>
      </c>
      <c r="W75" s="429">
        <f t="shared" ref="W75:W81" si="81">SUM(X75:AA75)</f>
        <v>-22157.209625519939</v>
      </c>
      <c r="X75" s="429">
        <f t="shared" si="73"/>
        <v>-23795.892692201589</v>
      </c>
      <c r="Y75" s="429">
        <f t="shared" si="74"/>
        <v>1558.6995278213763</v>
      </c>
      <c r="Z75" s="429">
        <f t="shared" si="75"/>
        <v>-135.48982985495459</v>
      </c>
      <c r="AA75" s="429">
        <f t="shared" si="76"/>
        <v>215.47336871522776</v>
      </c>
      <c r="AB75" s="432"/>
      <c r="AC75" s="327">
        <v>2029</v>
      </c>
      <c r="AD75" s="431">
        <f t="shared" si="61"/>
        <v>1.8384592124201555</v>
      </c>
      <c r="AE75" s="431">
        <f t="shared" si="62"/>
        <v>1.3047731838292449</v>
      </c>
    </row>
    <row r="76" spans="1:31">
      <c r="A76" s="327">
        <v>2030</v>
      </c>
      <c r="B76" s="430">
        <f t="shared" si="77"/>
        <v>29583818.754655838</v>
      </c>
      <c r="C76" s="430">
        <f t="shared" si="64"/>
        <v>24881268.166684404</v>
      </c>
      <c r="D76" s="430">
        <f t="shared" si="64"/>
        <v>2570238.7097792607</v>
      </c>
      <c r="E76" s="430">
        <f t="shared" si="64"/>
        <v>192615.82135112138</v>
      </c>
      <c r="F76" s="430">
        <f t="shared" si="64"/>
        <v>1939696.0568410512</v>
      </c>
      <c r="H76" s="327">
        <v>2030</v>
      </c>
      <c r="I76" s="430">
        <f t="shared" si="78"/>
        <v>29554050.641089588</v>
      </c>
      <c r="J76" s="430">
        <f t="shared" si="66"/>
        <v>24848660.955454636</v>
      </c>
      <c r="K76" s="430">
        <f t="shared" si="66"/>
        <v>2573002.7484539528</v>
      </c>
      <c r="L76" s="430">
        <f t="shared" si="66"/>
        <v>192353.86730617858</v>
      </c>
      <c r="M76" s="430">
        <f t="shared" si="66"/>
        <v>1940033.0698748201</v>
      </c>
      <c r="O76" s="327">
        <v>2030</v>
      </c>
      <c r="P76" s="429">
        <f t="shared" si="79"/>
        <v>-29768.113566249434</v>
      </c>
      <c r="Q76" s="429">
        <f t="shared" si="80"/>
        <v>-32607.21122976765</v>
      </c>
      <c r="R76" s="429">
        <f t="shared" si="80"/>
        <v>2764.0386746921577</v>
      </c>
      <c r="S76" s="429">
        <f t="shared" si="80"/>
        <v>-261.95404494280228</v>
      </c>
      <c r="T76" s="429">
        <f t="shared" si="80"/>
        <v>337.01303376886062</v>
      </c>
      <c r="V76" s="327">
        <v>2030</v>
      </c>
      <c r="W76" s="429">
        <f t="shared" si="81"/>
        <v>-22819.574170271448</v>
      </c>
      <c r="X76" s="429">
        <f t="shared" si="73"/>
        <v>-24262.827457822263</v>
      </c>
      <c r="Y76" s="429">
        <f t="shared" si="74"/>
        <v>1405.0971037127413</v>
      </c>
      <c r="Z76" s="429">
        <f t="shared" si="75"/>
        <v>-133.16415331849953</v>
      </c>
      <c r="AA76" s="429">
        <f t="shared" si="76"/>
        <v>171.32033715657397</v>
      </c>
      <c r="AB76" s="432"/>
      <c r="AC76" s="327">
        <v>2030</v>
      </c>
      <c r="AD76" s="431">
        <f t="shared" si="61"/>
        <v>1.9671513572895665</v>
      </c>
      <c r="AE76" s="431">
        <f t="shared" si="62"/>
        <v>1.3439163793441222</v>
      </c>
    </row>
    <row r="77" spans="1:31">
      <c r="A77" s="327">
        <v>2031</v>
      </c>
      <c r="B77" s="430">
        <f t="shared" si="77"/>
        <v>29551207.105719469</v>
      </c>
      <c r="C77" s="430">
        <f t="shared" si="64"/>
        <v>25072064.982015423</v>
      </c>
      <c r="D77" s="430">
        <f t="shared" si="64"/>
        <v>2439974.9806193691</v>
      </c>
      <c r="E77" s="430">
        <f t="shared" si="64"/>
        <v>190991.09333565901</v>
      </c>
      <c r="F77" s="430">
        <f t="shared" si="64"/>
        <v>1848176.0497490163</v>
      </c>
      <c r="H77" s="327">
        <v>2031</v>
      </c>
      <c r="I77" s="430">
        <f t="shared" si="78"/>
        <v>29519642.694756474</v>
      </c>
      <c r="J77" s="430">
        <f t="shared" si="66"/>
        <v>25037886.343643591</v>
      </c>
      <c r="K77" s="430">
        <f t="shared" si="66"/>
        <v>2442582.2028172985</v>
      </c>
      <c r="L77" s="430">
        <f t="shared" si="66"/>
        <v>190721.09599949478</v>
      </c>
      <c r="M77" s="430">
        <f t="shared" si="66"/>
        <v>1848453.0522960923</v>
      </c>
      <c r="O77" s="327">
        <v>2031</v>
      </c>
      <c r="P77" s="429">
        <f t="shared" si="79"/>
        <v>-31564.410962991533</v>
      </c>
      <c r="Q77" s="429">
        <f t="shared" si="80"/>
        <v>-34178.638371832669</v>
      </c>
      <c r="R77" s="429">
        <f t="shared" si="80"/>
        <v>2607.2221979293972</v>
      </c>
      <c r="S77" s="429">
        <f t="shared" si="80"/>
        <v>-269.99733616423327</v>
      </c>
      <c r="T77" s="429">
        <f t="shared" si="80"/>
        <v>277.00254707597196</v>
      </c>
      <c r="V77" s="327">
        <v>2031</v>
      </c>
      <c r="W77" s="429">
        <f t="shared" si="81"/>
        <v>-23449.374954927385</v>
      </c>
      <c r="X77" s="429">
        <f t="shared" si="73"/>
        <v>-24691.375564986793</v>
      </c>
      <c r="Y77" s="429">
        <f t="shared" si="74"/>
        <v>1238.6724848180668</v>
      </c>
      <c r="Z77" s="429">
        <f t="shared" si="75"/>
        <v>-128.27378945546482</v>
      </c>
      <c r="AA77" s="429">
        <f t="shared" si="76"/>
        <v>131.60191469680757</v>
      </c>
      <c r="AB77" s="432"/>
      <c r="AC77" s="327">
        <v>2031</v>
      </c>
      <c r="AD77" s="431">
        <f t="shared" si="61"/>
        <v>2.1048519522998363</v>
      </c>
      <c r="AE77" s="431">
        <f t="shared" si="62"/>
        <v>1.3842338707244459</v>
      </c>
    </row>
    <row r="78" spans="1:31">
      <c r="A78" s="327">
        <v>2032</v>
      </c>
      <c r="B78" s="430">
        <f t="shared" si="77"/>
        <v>29524636.677915446</v>
      </c>
      <c r="C78" s="430">
        <f t="shared" si="64"/>
        <v>25257967.339901358</v>
      </c>
      <c r="D78" s="430">
        <f t="shared" si="64"/>
        <v>2316314.2097372925</v>
      </c>
      <c r="E78" s="430">
        <f t="shared" si="64"/>
        <v>189380.12734457926</v>
      </c>
      <c r="F78" s="430">
        <f t="shared" si="64"/>
        <v>1760975.0009322176</v>
      </c>
      <c r="H78" s="327">
        <v>2032</v>
      </c>
      <c r="I78" s="430">
        <f t="shared" si="78"/>
        <v>29491278.411310758</v>
      </c>
      <c r="J78" s="430">
        <f t="shared" si="66"/>
        <v>25222205.536427222</v>
      </c>
      <c r="K78" s="430">
        <f t="shared" si="66"/>
        <v>2318773.5794332656</v>
      </c>
      <c r="L78" s="430">
        <f t="shared" si="66"/>
        <v>189102.25151655788</v>
      </c>
      <c r="M78" s="430">
        <f t="shared" si="66"/>
        <v>1761197.0439337133</v>
      </c>
      <c r="O78" s="327">
        <v>2032</v>
      </c>
      <c r="P78" s="429">
        <f t="shared" si="79"/>
        <v>-33358.266604688193</v>
      </c>
      <c r="Q78" s="429">
        <f t="shared" si="80"/>
        <v>-35761.803474135697</v>
      </c>
      <c r="R78" s="429">
        <f t="shared" si="80"/>
        <v>2459.3696959731169</v>
      </c>
      <c r="S78" s="429">
        <f t="shared" si="80"/>
        <v>-277.87582802138058</v>
      </c>
      <c r="T78" s="429">
        <f t="shared" si="80"/>
        <v>222.04300149576738</v>
      </c>
      <c r="V78" s="327">
        <v>2032</v>
      </c>
      <c r="W78" s="429">
        <f t="shared" si="81"/>
        <v>-24015.410321663207</v>
      </c>
      <c r="X78" s="429">
        <f t="shared" si="73"/>
        <v>-25082.609436173938</v>
      </c>
      <c r="Y78" s="429">
        <f t="shared" si="74"/>
        <v>1091.9895572063144</v>
      </c>
      <c r="Z78" s="429">
        <f t="shared" si="75"/>
        <v>-123.38019082541473</v>
      </c>
      <c r="AA78" s="429">
        <f t="shared" si="76"/>
        <v>98.589748129829132</v>
      </c>
      <c r="AB78" s="432"/>
      <c r="AC78" s="327">
        <v>2032</v>
      </c>
      <c r="AD78" s="431">
        <f t="shared" si="61"/>
        <v>2.2521915889608248</v>
      </c>
      <c r="AE78" s="431">
        <f t="shared" si="62"/>
        <v>1.4257608868461793</v>
      </c>
    </row>
    <row r="79" spans="1:31">
      <c r="A79" s="327">
        <v>2033</v>
      </c>
      <c r="B79" s="430">
        <f t="shared" si="77"/>
        <v>29503637.335299317</v>
      </c>
      <c r="C79" s="430">
        <f t="shared" si="64"/>
        <v>25439043.825661533</v>
      </c>
      <c r="D79" s="430">
        <f t="shared" si="64"/>
        <v>2198921.6483637998</v>
      </c>
      <c r="E79" s="430">
        <f t="shared" si="64"/>
        <v>187782.80637171533</v>
      </c>
      <c r="F79" s="430">
        <f t="shared" si="64"/>
        <v>1677889.0549022709</v>
      </c>
      <c r="H79" s="327">
        <v>2033</v>
      </c>
      <c r="I79" s="430">
        <f t="shared" si="78"/>
        <v>29468487.493999414</v>
      </c>
      <c r="J79" s="430">
        <f t="shared" si="66"/>
        <v>25401687.824686248</v>
      </c>
      <c r="K79" s="430">
        <f t="shared" si="66"/>
        <v>2201241.6150737838</v>
      </c>
      <c r="L79" s="430">
        <f t="shared" si="66"/>
        <v>187497.2145560291</v>
      </c>
      <c r="M79" s="430">
        <f t="shared" si="66"/>
        <v>1678060.8396833511</v>
      </c>
      <c r="O79" s="327">
        <v>2033</v>
      </c>
      <c r="P79" s="429">
        <f t="shared" si="79"/>
        <v>-35149.841299906751</v>
      </c>
      <c r="Q79" s="429">
        <f t="shared" si="80"/>
        <v>-37356.000975284725</v>
      </c>
      <c r="R79" s="429">
        <f t="shared" si="80"/>
        <v>2319.9667099840008</v>
      </c>
      <c r="S79" s="429">
        <f t="shared" si="80"/>
        <v>-285.59181568623171</v>
      </c>
      <c r="T79" s="429">
        <f t="shared" si="80"/>
        <v>171.78478108020499</v>
      </c>
      <c r="V79" s="327">
        <v>2033</v>
      </c>
      <c r="W79" s="429">
        <f t="shared" si="81"/>
        <v>-24522.141089259403</v>
      </c>
      <c r="X79" s="429">
        <f t="shared" si="73"/>
        <v>-25437.618920906578</v>
      </c>
      <c r="Y79" s="429">
        <f t="shared" si="74"/>
        <v>962.70370492829738</v>
      </c>
      <c r="Z79" s="429">
        <f t="shared" si="75"/>
        <v>-118.51045011772207</v>
      </c>
      <c r="AA79" s="429">
        <f t="shared" si="76"/>
        <v>71.284576836600522</v>
      </c>
      <c r="AB79" s="432"/>
      <c r="AC79" s="327">
        <v>2033</v>
      </c>
      <c r="AD79" s="431">
        <f t="shared" si="61"/>
        <v>2.4098450001880827</v>
      </c>
      <c r="AE79" s="431">
        <f t="shared" si="62"/>
        <v>1.4685337134515648</v>
      </c>
    </row>
    <row r="80" spans="1:31">
      <c r="A80" s="327">
        <v>2034</v>
      </c>
      <c r="B80" s="430">
        <f t="shared" si="77"/>
        <v>29487764.731885836</v>
      </c>
      <c r="C80" s="430">
        <f t="shared" si="64"/>
        <v>25615362.216531288</v>
      </c>
      <c r="D80" s="430">
        <f t="shared" si="64"/>
        <v>2087479.5209866585</v>
      </c>
      <c r="E80" s="430">
        <f t="shared" si="64"/>
        <v>186199.01440901513</v>
      </c>
      <c r="F80" s="430">
        <f t="shared" si="64"/>
        <v>1598723.9799588751</v>
      </c>
      <c r="H80" s="327">
        <v>2034</v>
      </c>
      <c r="I80" s="430">
        <f t="shared" si="78"/>
        <v>29450825.472860154</v>
      </c>
      <c r="J80" s="430">
        <f t="shared" si="66"/>
        <v>25576401.676394895</v>
      </c>
      <c r="K80" s="430">
        <f t="shared" si="66"/>
        <v>2089668.0493339158</v>
      </c>
      <c r="L80" s="430">
        <f t="shared" si="66"/>
        <v>185905.8668424144</v>
      </c>
      <c r="M80" s="430">
        <f t="shared" si="66"/>
        <v>1598849.8802889287</v>
      </c>
      <c r="O80" s="327">
        <v>2034</v>
      </c>
      <c r="P80" s="429">
        <f t="shared" si="79"/>
        <v>-36939.259025682957</v>
      </c>
      <c r="Q80" s="429">
        <f t="shared" si="80"/>
        <v>-38960.54013639316</v>
      </c>
      <c r="R80" s="429">
        <f t="shared" si="80"/>
        <v>2188.5283472572919</v>
      </c>
      <c r="S80" s="429">
        <f t="shared" si="80"/>
        <v>-293.14756660073181</v>
      </c>
      <c r="T80" s="429">
        <f t="shared" si="80"/>
        <v>125.90033005364239</v>
      </c>
      <c r="V80" s="327">
        <v>2034</v>
      </c>
      <c r="W80" s="429">
        <f t="shared" si="81"/>
        <v>-24973.619144804419</v>
      </c>
      <c r="X80" s="429">
        <f t="shared" si="73"/>
        <v>-25757.506808480481</v>
      </c>
      <c r="Y80" s="429">
        <f t="shared" si="74"/>
        <v>848.74902552152832</v>
      </c>
      <c r="Z80" s="429">
        <f t="shared" si="75"/>
        <v>-113.68768049003823</v>
      </c>
      <c r="AA80" s="429">
        <f t="shared" si="76"/>
        <v>48.826318644574151</v>
      </c>
      <c r="AB80" s="432"/>
      <c r="AC80" s="327">
        <v>2034</v>
      </c>
      <c r="AD80" s="431">
        <f t="shared" si="61"/>
        <v>2.5785341502012487</v>
      </c>
      <c r="AE80" s="431">
        <f t="shared" si="62"/>
        <v>1.5125897248551119</v>
      </c>
    </row>
    <row r="81" spans="1:31">
      <c r="A81" s="327">
        <v>2035</v>
      </c>
      <c r="B81" s="430">
        <f t="shared" si="77"/>
        <v>29827307.511895709</v>
      </c>
      <c r="C81" s="430">
        <f t="shared" si="64"/>
        <v>26076863.070055794</v>
      </c>
      <c r="D81" s="430">
        <f t="shared" si="64"/>
        <v>1989153.4263824429</v>
      </c>
      <c r="E81" s="430">
        <f t="shared" si="64"/>
        <v>184628.63643800194</v>
      </c>
      <c r="F81" s="430">
        <f t="shared" si="64"/>
        <v>1576662.3790194746</v>
      </c>
      <c r="H81" s="327">
        <v>2035</v>
      </c>
      <c r="I81" s="430">
        <f t="shared" si="78"/>
        <v>29787538.436845049</v>
      </c>
      <c r="J81" s="430">
        <f t="shared" si="66"/>
        <v>26035426.689006533</v>
      </c>
      <c r="K81" s="430">
        <f t="shared" si="66"/>
        <v>1991195.8278639147</v>
      </c>
      <c r="L81" s="430">
        <f t="shared" si="66"/>
        <v>184328.09111721389</v>
      </c>
      <c r="M81" s="430">
        <f t="shared" si="66"/>
        <v>1576587.8288573872</v>
      </c>
      <c r="O81" s="327">
        <v>2035</v>
      </c>
      <c r="P81" s="429">
        <f t="shared" si="79"/>
        <v>-39769.075050664251</v>
      </c>
      <c r="Q81" s="429">
        <f t="shared" si="80"/>
        <v>-41436.381049260497</v>
      </c>
      <c r="R81" s="429">
        <f t="shared" si="80"/>
        <v>2042.4014814717229</v>
      </c>
      <c r="S81" s="429">
        <f t="shared" si="80"/>
        <v>-300.54532078804914</v>
      </c>
      <c r="T81" s="429">
        <f t="shared" si="80"/>
        <v>-74.550162087427452</v>
      </c>
      <c r="V81" s="327">
        <v>2035</v>
      </c>
      <c r="W81" s="429">
        <f t="shared" si="81"/>
        <v>-25992.127810633734</v>
      </c>
      <c r="X81" s="429">
        <f t="shared" si="73"/>
        <v>-26596.436233350774</v>
      </c>
      <c r="Y81" s="429">
        <f t="shared" si="74"/>
        <v>740.2602874710841</v>
      </c>
      <c r="Z81" s="429">
        <f t="shared" si="75"/>
        <v>-108.93145524176448</v>
      </c>
      <c r="AA81" s="429">
        <f t="shared" si="76"/>
        <v>-27.020409512280811</v>
      </c>
      <c r="AB81" s="432"/>
      <c r="AC81" s="327">
        <v>2035</v>
      </c>
      <c r="AD81" s="431">
        <f t="shared" si="61"/>
        <v>2.7590315407153363</v>
      </c>
      <c r="AE81" s="431">
        <f t="shared" si="62"/>
        <v>1.5579674166007653</v>
      </c>
    </row>
    <row r="82" spans="1:31">
      <c r="A82" s="327">
        <v>2036</v>
      </c>
      <c r="B82" s="430">
        <f t="shared" si="77"/>
        <v>30205273.419022389</v>
      </c>
      <c r="C82" s="430">
        <f t="shared" si="64"/>
        <v>26631621.76898858</v>
      </c>
      <c r="D82" s="430">
        <f t="shared" si="64"/>
        <v>1888338.0110269585</v>
      </c>
      <c r="E82" s="430">
        <f t="shared" si="64"/>
        <v>183071.55842130794</v>
      </c>
      <c r="F82" s="430">
        <f t="shared" si="64"/>
        <v>1502242.0805855433</v>
      </c>
      <c r="H82" s="327">
        <v>2036</v>
      </c>
      <c r="I82" s="430">
        <f t="shared" si="78"/>
        <v>30163061.426495023</v>
      </c>
      <c r="J82" s="430">
        <f t="shared" si="66"/>
        <v>26587900.407474492</v>
      </c>
      <c r="K82" s="430">
        <f t="shared" si="66"/>
        <v>1890264.1475586914</v>
      </c>
      <c r="L82" s="430">
        <f t="shared" si="66"/>
        <v>182763.77113014838</v>
      </c>
      <c r="M82" s="430">
        <f t="shared" si="66"/>
        <v>1502133.1003316909</v>
      </c>
      <c r="O82" s="327">
        <v>2036</v>
      </c>
      <c r="P82" s="429">
        <f>(P83+P81)/2</f>
        <v>-41901.666667334051</v>
      </c>
      <c r="Q82" s="429">
        <f t="shared" ref="Q82" si="82">J82-C82</f>
        <v>-43721.361514087766</v>
      </c>
      <c r="R82" s="429">
        <f t="shared" ref="R82" si="83">K82-D82</f>
        <v>1926.1365317329764</v>
      </c>
      <c r="S82" s="429">
        <f t="shared" ref="S82" si="84">L82-E82</f>
        <v>-307.7872911595623</v>
      </c>
      <c r="T82" s="429">
        <f t="shared" ref="T82" si="85">M82-F82</f>
        <v>-108.98025385243818</v>
      </c>
      <c r="V82" s="327">
        <v>2036</v>
      </c>
      <c r="W82" s="429">
        <f>(W83+W81)/2</f>
        <v>-26513.186881446622</v>
      </c>
      <c r="X82" s="429">
        <f t="shared" si="73"/>
        <v>-27245.707033270155</v>
      </c>
      <c r="Y82" s="429">
        <f t="shared" si="74"/>
        <v>652.44908337790321</v>
      </c>
      <c r="Z82" s="429">
        <f t="shared" si="75"/>
        <v>-104.2582042778386</v>
      </c>
      <c r="AA82" s="429">
        <f t="shared" si="76"/>
        <v>-36.915382456476749</v>
      </c>
      <c r="AB82" s="432"/>
      <c r="AC82" s="327">
        <v>2036</v>
      </c>
      <c r="AD82" s="431">
        <f t="shared" si="61"/>
        <v>2.9521637485654102</v>
      </c>
      <c r="AE82" s="431">
        <f t="shared" si="62"/>
        <v>1.6047064390987884</v>
      </c>
    </row>
    <row r="83" spans="1:31">
      <c r="A83" s="327">
        <v>2037</v>
      </c>
      <c r="B83" s="430">
        <f t="shared" si="77"/>
        <v>30198084.511946134</v>
      </c>
      <c r="C83" s="430">
        <f t="shared" si="64"/>
        <v>26792588.743130084</v>
      </c>
      <c r="D83" s="430">
        <f t="shared" si="64"/>
        <v>1792632.9458152531</v>
      </c>
      <c r="E83" s="430">
        <f t="shared" si="64"/>
        <v>181527.66729428087</v>
      </c>
      <c r="F83" s="430">
        <f t="shared" si="64"/>
        <v>1431335.1557065123</v>
      </c>
      <c r="H83" s="327">
        <v>2037</v>
      </c>
      <c r="I83" s="430">
        <f t="shared" si="78"/>
        <v>30154050.253662128</v>
      </c>
      <c r="J83" s="430">
        <f t="shared" si="66"/>
        <v>26747192.701768566</v>
      </c>
      <c r="K83" s="430">
        <f t="shared" si="66"/>
        <v>1794449.4864690923</v>
      </c>
      <c r="L83" s="430">
        <f t="shared" si="66"/>
        <v>181212.7916304617</v>
      </c>
      <c r="M83" s="430">
        <f t="shared" si="66"/>
        <v>1431195.2737940066</v>
      </c>
      <c r="O83" s="327">
        <v>2037</v>
      </c>
      <c r="P83" s="429">
        <f t="shared" ref="P83:P94" si="86">SUM(Q83:T83)</f>
        <v>-44034.258284003852</v>
      </c>
      <c r="Q83" s="429">
        <f t="shared" ref="Q83:Q94" si="87">J83-C83</f>
        <v>-45396.041361518204</v>
      </c>
      <c r="R83" s="429">
        <f t="shared" ref="R83:R94" si="88">K83-D83</f>
        <v>1816.5406538392417</v>
      </c>
      <c r="S83" s="429">
        <f t="shared" ref="S83:S94" si="89">L83-E83</f>
        <v>-314.87566381916986</v>
      </c>
      <c r="T83" s="429">
        <f t="shared" ref="T83:T94" si="90">M83-F83</f>
        <v>-139.88191250571981</v>
      </c>
      <c r="V83" s="327">
        <v>2037</v>
      </c>
      <c r="W83" s="429">
        <f t="shared" ref="W83:W94" si="91">SUM(X83:AA83)</f>
        <v>-27034.245952259509</v>
      </c>
      <c r="X83" s="429">
        <f t="shared" si="73"/>
        <v>-27465.351599967951</v>
      </c>
      <c r="Y83" s="429">
        <f t="shared" si="74"/>
        <v>575.07025024243353</v>
      </c>
      <c r="Z83" s="429">
        <f t="shared" si="75"/>
        <v>-99.681571345535659</v>
      </c>
      <c r="AA83" s="429">
        <f t="shared" si="76"/>
        <v>-44.283031188452192</v>
      </c>
      <c r="AB83" s="432"/>
      <c r="AC83" s="327">
        <v>2037</v>
      </c>
      <c r="AD83" s="431">
        <f t="shared" si="61"/>
        <v>3.1588152109649892</v>
      </c>
      <c r="AE83" s="431">
        <f t="shared" si="62"/>
        <v>1.652847632271752</v>
      </c>
    </row>
    <row r="84" spans="1:31">
      <c r="A84" s="327">
        <v>2038</v>
      </c>
      <c r="B84" s="430">
        <f t="shared" si="77"/>
        <v>30691689.959463652</v>
      </c>
      <c r="C84" s="430">
        <f t="shared" si="64"/>
        <v>27388718.081250079</v>
      </c>
      <c r="D84" s="430">
        <f t="shared" si="64"/>
        <v>1723958.0218949998</v>
      </c>
      <c r="E84" s="430">
        <f t="shared" si="64"/>
        <v>180429.25133168857</v>
      </c>
      <c r="F84" s="430">
        <f t="shared" si="64"/>
        <v>1398584.6049868888</v>
      </c>
      <c r="H84" s="327">
        <v>2038</v>
      </c>
      <c r="I84" s="430">
        <f t="shared" si="78"/>
        <v>30645584.645091914</v>
      </c>
      <c r="J84" s="430">
        <f t="shared" si="66"/>
        <v>27341187.54915129</v>
      </c>
      <c r="K84" s="430">
        <f t="shared" si="66"/>
        <v>1725749.0117007652</v>
      </c>
      <c r="L84" s="430">
        <f t="shared" si="66"/>
        <v>180108.95474598918</v>
      </c>
      <c r="M84" s="430">
        <f t="shared" si="66"/>
        <v>1398539.1294938684</v>
      </c>
      <c r="O84" s="327">
        <v>2038</v>
      </c>
      <c r="P84" s="429">
        <f t="shared" si="86"/>
        <v>-46105.314371743094</v>
      </c>
      <c r="Q84" s="429">
        <f t="shared" si="87"/>
        <v>-47530.532098788768</v>
      </c>
      <c r="R84" s="429">
        <f t="shared" si="88"/>
        <v>1790.98980576545</v>
      </c>
      <c r="S84" s="429">
        <f t="shared" si="89"/>
        <v>-320.29658569939784</v>
      </c>
      <c r="T84" s="429">
        <f t="shared" si="90"/>
        <v>-45.475493020378053</v>
      </c>
      <c r="V84" s="327">
        <v>2038</v>
      </c>
      <c r="W84" s="429">
        <f t="shared" si="91"/>
        <v>-27497.507753626436</v>
      </c>
      <c r="X84" s="429">
        <f t="shared" si="73"/>
        <v>-27919.178251961137</v>
      </c>
      <c r="Y84" s="429">
        <f t="shared" si="74"/>
        <v>529.88925802582412</v>
      </c>
      <c r="Z84" s="429">
        <f t="shared" si="75"/>
        <v>-94.764202229460167</v>
      </c>
      <c r="AA84" s="429">
        <f t="shared" si="76"/>
        <v>-13.454557461664544</v>
      </c>
      <c r="AB84" s="432"/>
      <c r="AC84" s="327">
        <v>2038</v>
      </c>
      <c r="AD84" s="431">
        <f t="shared" si="61"/>
        <v>3.3799322757325387</v>
      </c>
      <c r="AE84" s="431">
        <f>AE83*1.03</f>
        <v>1.7024330612399046</v>
      </c>
    </row>
    <row r="85" spans="1:31">
      <c r="A85" s="327">
        <v>2039</v>
      </c>
      <c r="B85" s="430">
        <f t="shared" si="77"/>
        <v>30308808.843945142</v>
      </c>
      <c r="C85" s="430">
        <f t="shared" si="64"/>
        <v>27160708.732449967</v>
      </c>
      <c r="D85" s="430">
        <f t="shared" si="64"/>
        <v>1636596.0780689339</v>
      </c>
      <c r="E85" s="430">
        <f t="shared" si="64"/>
        <v>178908.20940287563</v>
      </c>
      <c r="F85" s="430">
        <f t="shared" si="64"/>
        <v>1332595.8240233664</v>
      </c>
      <c r="H85" s="327">
        <v>2039</v>
      </c>
      <c r="I85" s="430">
        <f t="shared" si="78"/>
        <v>30261541.328352883</v>
      </c>
      <c r="J85" s="430">
        <f t="shared" si="66"/>
        <v>27112152.599241599</v>
      </c>
      <c r="K85" s="430">
        <f t="shared" si="66"/>
        <v>1638286.4614008958</v>
      </c>
      <c r="L85" s="430">
        <f t="shared" si="66"/>
        <v>178581.12796499796</v>
      </c>
      <c r="M85" s="430">
        <f t="shared" si="66"/>
        <v>1332521.1397453898</v>
      </c>
      <c r="O85" s="327">
        <v>2039</v>
      </c>
      <c r="P85" s="429">
        <f t="shared" si="86"/>
        <v>-47267.515592260344</v>
      </c>
      <c r="Q85" s="429">
        <f t="shared" si="87"/>
        <v>-48556.133208367974</v>
      </c>
      <c r="R85" s="429">
        <f t="shared" si="88"/>
        <v>1690.3833319619298</v>
      </c>
      <c r="S85" s="429">
        <f t="shared" si="89"/>
        <v>-327.0814378776704</v>
      </c>
      <c r="T85" s="429">
        <f t="shared" si="90"/>
        <v>-74.684277976630256</v>
      </c>
      <c r="V85" s="327">
        <v>2039</v>
      </c>
      <c r="W85" s="429">
        <f t="shared" si="91"/>
        <v>-27334.570775832395</v>
      </c>
      <c r="X85" s="429">
        <f t="shared" si="73"/>
        <v>-27690.884284750715</v>
      </c>
      <c r="Y85" s="429">
        <f t="shared" si="74"/>
        <v>467.40507727010117</v>
      </c>
      <c r="Z85" s="429">
        <f t="shared" si="75"/>
        <v>-90.440743146342996</v>
      </c>
      <c r="AA85" s="429">
        <f t="shared" si="76"/>
        <v>-20.65082520543616</v>
      </c>
      <c r="AB85" s="432"/>
      <c r="AC85" s="327">
        <v>2039</v>
      </c>
      <c r="AD85" s="431">
        <f t="shared" si="61"/>
        <v>3.6165275350338169</v>
      </c>
      <c r="AE85" s="431">
        <f t="shared" si="62"/>
        <v>1.7535060530771018</v>
      </c>
    </row>
    <row r="86" spans="1:31">
      <c r="A86" s="327">
        <v>2040</v>
      </c>
      <c r="B86" s="430">
        <f t="shared" si="77"/>
        <v>30309480.783080149</v>
      </c>
      <c r="C86" s="430">
        <f t="shared" si="64"/>
        <v>27308697.720343143</v>
      </c>
      <c r="D86" s="430">
        <f t="shared" si="64"/>
        <v>1553661.8787006238</v>
      </c>
      <c r="E86" s="430">
        <f t="shared" si="64"/>
        <v>177400.04444591823</v>
      </c>
      <c r="F86" s="430">
        <f t="shared" si="64"/>
        <v>1269721.139590465</v>
      </c>
      <c r="H86" s="327">
        <v>2040</v>
      </c>
      <c r="I86" s="430">
        <f t="shared" si="78"/>
        <v>30260393.451003984</v>
      </c>
      <c r="J86" s="430">
        <f t="shared" si="66"/>
        <v>27258449.55727376</v>
      </c>
      <c r="K86" s="430">
        <f t="shared" si="66"/>
        <v>1555257.3648602788</v>
      </c>
      <c r="L86" s="430">
        <f t="shared" si="66"/>
        <v>177066.32523011792</v>
      </c>
      <c r="M86" s="430">
        <f t="shared" si="66"/>
        <v>1269620.2036398267</v>
      </c>
      <c r="O86" s="327">
        <v>2040</v>
      </c>
      <c r="P86" s="429">
        <f t="shared" si="86"/>
        <v>-49087.332076165854</v>
      </c>
      <c r="Q86" s="429">
        <f t="shared" si="87"/>
        <v>-50248.16306938231</v>
      </c>
      <c r="R86" s="429">
        <f t="shared" si="88"/>
        <v>1595.4861596550327</v>
      </c>
      <c r="S86" s="429">
        <f t="shared" si="89"/>
        <v>-333.71921580031631</v>
      </c>
      <c r="T86" s="429">
        <f t="shared" si="90"/>
        <v>-100.93595063826069</v>
      </c>
      <c r="V86" s="327">
        <v>2040</v>
      </c>
      <c r="W86" s="429">
        <f t="shared" si="91"/>
        <v>-27521.208796215738</v>
      </c>
      <c r="X86" s="429">
        <f t="shared" si="73"/>
        <v>-27821.189583918167</v>
      </c>
      <c r="Y86" s="429">
        <f t="shared" si="74"/>
        <v>412.30394238138194</v>
      </c>
      <c r="Z86" s="429">
        <f t="shared" si="75"/>
        <v>-86.239386966943883</v>
      </c>
      <c r="AA86" s="429">
        <f t="shared" si="76"/>
        <v>-26.08376771200917</v>
      </c>
      <c r="AB86" s="432"/>
      <c r="AC86" s="327">
        <v>2040</v>
      </c>
      <c r="AD86" s="431">
        <f t="shared" si="61"/>
        <v>3.8696844624861844</v>
      </c>
      <c r="AE86" s="431">
        <f t="shared" si="62"/>
        <v>1.806111234669415</v>
      </c>
    </row>
    <row r="87" spans="1:31">
      <c r="A87" s="327">
        <v>2041</v>
      </c>
      <c r="B87" s="430">
        <f t="shared" si="77"/>
        <v>30312998.366158601</v>
      </c>
      <c r="C87" s="430">
        <f t="shared" si="64"/>
        <v>27452349.173075389</v>
      </c>
      <c r="D87" s="430">
        <f t="shared" si="64"/>
        <v>1474930.9798574566</v>
      </c>
      <c r="E87" s="430">
        <f t="shared" si="64"/>
        <v>175904.64703102567</v>
      </c>
      <c r="F87" s="430">
        <f t="shared" si="64"/>
        <v>1209813.5661947303</v>
      </c>
      <c r="H87" s="327">
        <v>2041</v>
      </c>
      <c r="I87" s="430">
        <f t="shared" si="78"/>
        <v>30262093.799608871</v>
      </c>
      <c r="J87" s="430">
        <f t="shared" si="66"/>
        <v>27400403.295545265</v>
      </c>
      <c r="K87" s="430">
        <f t="shared" si="66"/>
        <v>1476436.9521089138</v>
      </c>
      <c r="L87" s="430">
        <f t="shared" si="66"/>
        <v>175564.43503136735</v>
      </c>
      <c r="M87" s="430">
        <f t="shared" si="66"/>
        <v>1209689.1169233304</v>
      </c>
      <c r="O87" s="327">
        <v>2041</v>
      </c>
      <c r="P87" s="429">
        <f t="shared" si="86"/>
        <v>-50904.56654972519</v>
      </c>
      <c r="Q87" s="429">
        <f t="shared" si="87"/>
        <v>-51945.877530124038</v>
      </c>
      <c r="R87" s="429">
        <f t="shared" si="88"/>
        <v>1505.9722514571622</v>
      </c>
      <c r="S87" s="429">
        <f t="shared" si="89"/>
        <v>-340.21199965832056</v>
      </c>
      <c r="T87" s="429">
        <f t="shared" si="90"/>
        <v>-124.44927139999345</v>
      </c>
      <c r="V87" s="327">
        <v>2041</v>
      </c>
      <c r="W87" s="429">
        <f t="shared" si="91"/>
        <v>-27671.978623644623</v>
      </c>
      <c r="X87" s="429">
        <f t="shared" si="73"/>
        <v>-27923.468852779017</v>
      </c>
      <c r="Y87" s="429">
        <f t="shared" si="74"/>
        <v>363.71200699711778</v>
      </c>
      <c r="Z87" s="429">
        <f t="shared" si="75"/>
        <v>-82.165650184126463</v>
      </c>
      <c r="AA87" s="429">
        <f t="shared" si="76"/>
        <v>-30.056127678596983</v>
      </c>
      <c r="AB87" s="432"/>
      <c r="AC87" s="327">
        <v>2041</v>
      </c>
      <c r="AD87" s="431">
        <f t="shared" si="61"/>
        <v>4.1405623748602176</v>
      </c>
      <c r="AE87" s="431">
        <f t="shared" si="62"/>
        <v>1.8602945717094976</v>
      </c>
    </row>
    <row r="88" spans="1:31">
      <c r="A88" s="327">
        <v>2042</v>
      </c>
      <c r="B88" s="430">
        <f t="shared" si="77"/>
        <v>30319070.614743687</v>
      </c>
      <c r="C88" s="430">
        <f t="shared" si="64"/>
        <v>27591725.332271848</v>
      </c>
      <c r="D88" s="430">
        <f t="shared" si="64"/>
        <v>1400190.3164638467</v>
      </c>
      <c r="E88" s="430">
        <f t="shared" si="64"/>
        <v>174421.90866150215</v>
      </c>
      <c r="F88" s="430">
        <f t="shared" si="64"/>
        <v>1152733.0573464897</v>
      </c>
      <c r="H88" s="327">
        <v>2042</v>
      </c>
      <c r="I88" s="430">
        <f t="shared" si="78"/>
        <v>30266351.466541756</v>
      </c>
      <c r="J88" s="430">
        <f t="shared" si="66"/>
        <v>27538076.640381157</v>
      </c>
      <c r="K88" s="430">
        <f t="shared" si="66"/>
        <v>1401611.8507119864</v>
      </c>
      <c r="L88" s="430">
        <f t="shared" si="66"/>
        <v>174075.34681717644</v>
      </c>
      <c r="M88" s="430">
        <f t="shared" si="66"/>
        <v>1152587.6286314358</v>
      </c>
      <c r="O88" s="327">
        <v>2042</v>
      </c>
      <c r="P88" s="429">
        <f t="shared" si="86"/>
        <v>-52719.148201930424</v>
      </c>
      <c r="Q88" s="429">
        <f t="shared" si="87"/>
        <v>-53648.691890690476</v>
      </c>
      <c r="R88" s="429">
        <f t="shared" si="88"/>
        <v>1421.5342481397092</v>
      </c>
      <c r="S88" s="429">
        <f t="shared" si="89"/>
        <v>-346.56184432571172</v>
      </c>
      <c r="T88" s="429">
        <f t="shared" si="90"/>
        <v>-145.42871505394578</v>
      </c>
      <c r="V88" s="327">
        <v>2042</v>
      </c>
      <c r="W88" s="429">
        <f t="shared" si="91"/>
        <v>-27789.039731749159</v>
      </c>
      <c r="X88" s="429">
        <f t="shared" si="73"/>
        <v>-27998.849979911705</v>
      </c>
      <c r="Y88" s="429">
        <f t="shared" si="74"/>
        <v>320.85899455849921</v>
      </c>
      <c r="Z88" s="429">
        <f t="shared" si="75"/>
        <v>-78.223570813158787</v>
      </c>
      <c r="AA88" s="429">
        <f t="shared" si="76"/>
        <v>-32.825175582795765</v>
      </c>
      <c r="AB88" s="432"/>
      <c r="AC88" s="327">
        <v>2042</v>
      </c>
      <c r="AD88" s="431">
        <f t="shared" si="61"/>
        <v>4.4304017411004333</v>
      </c>
      <c r="AE88" s="431">
        <f t="shared" si="62"/>
        <v>1.9161034088607827</v>
      </c>
    </row>
    <row r="89" spans="1:31">
      <c r="A89" s="327">
        <v>2043</v>
      </c>
      <c r="B89" s="430">
        <f t="shared" si="77"/>
        <v>30692250.69369426</v>
      </c>
      <c r="C89" s="430">
        <f t="shared" si="64"/>
        <v>28091715.168682232</v>
      </c>
      <c r="D89" s="430">
        <f t="shared" si="64"/>
        <v>1329237.6253285795</v>
      </c>
      <c r="E89" s="430">
        <f t="shared" si="64"/>
        <v>172951.72176576665</v>
      </c>
      <c r="F89" s="430">
        <f t="shared" si="64"/>
        <v>1098346.1779176812</v>
      </c>
      <c r="H89" s="327">
        <v>2043</v>
      </c>
      <c r="I89" s="430">
        <f t="shared" si="78"/>
        <v>30636991.336684689</v>
      </c>
      <c r="J89" s="430">
        <f t="shared" si="66"/>
        <v>28035630.765397213</v>
      </c>
      <c r="K89" s="430">
        <f t="shared" si="66"/>
        <v>1330579.5077262488</v>
      </c>
      <c r="L89" s="430">
        <f t="shared" si="66"/>
        <v>172598.95098612236</v>
      </c>
      <c r="M89" s="430">
        <f t="shared" si="66"/>
        <v>1098182.1125751075</v>
      </c>
      <c r="O89" s="327">
        <v>2043</v>
      </c>
      <c r="P89" s="429">
        <f t="shared" si="86"/>
        <v>-55259.357009567699</v>
      </c>
      <c r="Q89" s="429">
        <f t="shared" si="87"/>
        <v>-56084.4032850191</v>
      </c>
      <c r="R89" s="429">
        <f t="shared" si="88"/>
        <v>1341.8823976693675</v>
      </c>
      <c r="S89" s="429">
        <f t="shared" si="89"/>
        <v>-352.77077964428463</v>
      </c>
      <c r="T89" s="429">
        <f t="shared" si="90"/>
        <v>-164.06534257368185</v>
      </c>
      <c r="V89" s="327">
        <v>2043</v>
      </c>
      <c r="W89" s="429">
        <f t="shared" si="91"/>
        <v>-28243.463419700358</v>
      </c>
      <c r="X89" s="429">
        <f t="shared" si="73"/>
        <v>-28417.504360122406</v>
      </c>
      <c r="Y89" s="429">
        <f t="shared" si="74"/>
        <v>283.06590960415315</v>
      </c>
      <c r="Z89" s="429">
        <f t="shared" si="75"/>
        <v>-74.415896501222321</v>
      </c>
      <c r="AA89" s="429">
        <f t="shared" si="76"/>
        <v>-34.609072680882676</v>
      </c>
      <c r="AB89" s="432"/>
      <c r="AC89" s="327">
        <v>2043</v>
      </c>
      <c r="AD89" s="431">
        <f t="shared" si="61"/>
        <v>4.7405298629774641</v>
      </c>
      <c r="AE89" s="431">
        <f t="shared" si="62"/>
        <v>1.9735865111266062</v>
      </c>
    </row>
    <row r="90" spans="1:31">
      <c r="A90" s="327">
        <v>2044</v>
      </c>
      <c r="B90" s="430">
        <f t="shared" si="77"/>
        <v>30699588.581407536</v>
      </c>
      <c r="C90" s="430">
        <f t="shared" si="64"/>
        <v>28219687.912312735</v>
      </c>
      <c r="D90" s="430">
        <f t="shared" si="64"/>
        <v>1261880.8974324041</v>
      </c>
      <c r="E90" s="430">
        <f t="shared" si="64"/>
        <v>171493.97968944092</v>
      </c>
      <c r="F90" s="430">
        <f t="shared" si="64"/>
        <v>1046525.7919729539</v>
      </c>
      <c r="H90" s="327">
        <v>2044</v>
      </c>
      <c r="I90" s="430">
        <f t="shared" si="78"/>
        <v>30642507.466053531</v>
      </c>
      <c r="J90" s="430">
        <f t="shared" si="66"/>
        <v>28161879.431845758</v>
      </c>
      <c r="K90" s="430">
        <f t="shared" si="66"/>
        <v>1263147.6409780034</v>
      </c>
      <c r="L90" s="430">
        <f t="shared" si="66"/>
        <v>171135.13887873536</v>
      </c>
      <c r="M90" s="430">
        <f t="shared" si="66"/>
        <v>1046345.2543510302</v>
      </c>
      <c r="O90" s="327">
        <v>2044</v>
      </c>
      <c r="P90" s="429">
        <f t="shared" si="86"/>
        <v>-57081.115354006761</v>
      </c>
      <c r="Q90" s="429">
        <f t="shared" si="87"/>
        <v>-57808.480466976762</v>
      </c>
      <c r="R90" s="429">
        <f t="shared" si="88"/>
        <v>1266.7435455992818</v>
      </c>
      <c r="S90" s="429">
        <f t="shared" si="89"/>
        <v>-358.8408107055584</v>
      </c>
      <c r="T90" s="429">
        <f t="shared" si="90"/>
        <v>-180.53762192372233</v>
      </c>
      <c r="V90" s="327">
        <v>2044</v>
      </c>
      <c r="W90" s="429">
        <f t="shared" si="91"/>
        <v>-28294.544214738678</v>
      </c>
      <c r="X90" s="429">
        <f t="shared" si="73"/>
        <v>-28437.941788229389</v>
      </c>
      <c r="Y90" s="429">
        <f t="shared" si="74"/>
        <v>249.73420835685201</v>
      </c>
      <c r="Z90" s="429">
        <f t="shared" si="75"/>
        <v>-70.744252930286592</v>
      </c>
      <c r="AA90" s="429">
        <f t="shared" si="76"/>
        <v>-35.592381935855514</v>
      </c>
      <c r="AB90" s="432"/>
      <c r="AC90" s="327">
        <v>2044</v>
      </c>
      <c r="AD90" s="431">
        <f t="shared" si="61"/>
        <v>5.0723669533858873</v>
      </c>
      <c r="AE90" s="431">
        <f t="shared" si="62"/>
        <v>2.0327941064604045</v>
      </c>
    </row>
    <row r="91" spans="1:31">
      <c r="A91" s="327">
        <v>2045</v>
      </c>
      <c r="B91" s="430">
        <f t="shared" si="77"/>
        <v>30708730.263349235</v>
      </c>
      <c r="C91" s="430">
        <f t="shared" si="64"/>
        <v>28343593.063326798</v>
      </c>
      <c r="D91" s="430">
        <f t="shared" si="64"/>
        <v>1197937.857991758</v>
      </c>
      <c r="E91" s="430">
        <f t="shared" si="64"/>
        <v>170048.57668750582</v>
      </c>
      <c r="F91" s="430">
        <f t="shared" si="64"/>
        <v>997150.76534317131</v>
      </c>
      <c r="H91" s="327">
        <v>2045</v>
      </c>
      <c r="I91" s="430">
        <f t="shared" si="78"/>
        <v>30649830.640479609</v>
      </c>
      <c r="J91" s="430">
        <f t="shared" si="66"/>
        <v>28284057.366392784</v>
      </c>
      <c r="K91" s="430">
        <f t="shared" si="66"/>
        <v>1199133.7181750704</v>
      </c>
      <c r="L91" s="430">
        <f t="shared" si="66"/>
        <v>169683.80276937614</v>
      </c>
      <c r="M91" s="430">
        <f t="shared" si="66"/>
        <v>996955.75314237899</v>
      </c>
      <c r="O91" s="327">
        <v>2045</v>
      </c>
      <c r="P91" s="429">
        <f t="shared" si="86"/>
        <v>-58899.622869624232</v>
      </c>
      <c r="Q91" s="429">
        <f t="shared" si="87"/>
        <v>-59535.696934014559</v>
      </c>
      <c r="R91" s="429">
        <f t="shared" si="88"/>
        <v>1195.8601833123248</v>
      </c>
      <c r="S91" s="429">
        <f t="shared" si="89"/>
        <v>-364.77391812967835</v>
      </c>
      <c r="T91" s="429">
        <f t="shared" si="90"/>
        <v>-195.01220079232007</v>
      </c>
      <c r="V91" s="327">
        <v>2045</v>
      </c>
      <c r="W91" s="429">
        <f t="shared" si="91"/>
        <v>-28317.38430235249</v>
      </c>
      <c r="X91" s="429">
        <f t="shared" si="73"/>
        <v>-28434.580425559634</v>
      </c>
      <c r="Y91" s="429">
        <f t="shared" si="74"/>
        <v>220.33625520689014</v>
      </c>
      <c r="Z91" s="429">
        <f t="shared" si="75"/>
        <v>-67.209294396957887</v>
      </c>
      <c r="AA91" s="429">
        <f t="shared" si="76"/>
        <v>-35.930837602786752</v>
      </c>
      <c r="AB91" s="432"/>
      <c r="AC91" s="327">
        <v>2045</v>
      </c>
      <c r="AD91" s="431">
        <f t="shared" si="61"/>
        <v>5.4274326401229001</v>
      </c>
      <c r="AE91" s="431">
        <f t="shared" si="62"/>
        <v>2.0937779296542165</v>
      </c>
    </row>
    <row r="92" spans="1:31">
      <c r="A92" s="327">
        <v>2046</v>
      </c>
      <c r="B92" s="430">
        <f t="shared" si="77"/>
        <v>30719446.29903442</v>
      </c>
      <c r="C92" s="430">
        <f t="shared" si="64"/>
        <v>28463489.735983137</v>
      </c>
      <c r="D92" s="430">
        <f t="shared" si="64"/>
        <v>1137235.4728897992</v>
      </c>
      <c r="E92" s="430">
        <f t="shared" si="64"/>
        <v>168615.40791652445</v>
      </c>
      <c r="F92" s="430">
        <f t="shared" si="64"/>
        <v>950105.68224495999</v>
      </c>
      <c r="H92" s="327">
        <v>2046</v>
      </c>
      <c r="I92" s="430">
        <f t="shared" si="78"/>
        <v>30658731.549310535</v>
      </c>
      <c r="J92" s="430">
        <f t="shared" si="66"/>
        <v>28402224.213400763</v>
      </c>
      <c r="K92" s="430">
        <f t="shared" si="66"/>
        <v>1138364.4624406025</v>
      </c>
      <c r="L92" s="430">
        <f t="shared" si="66"/>
        <v>168244.83585818316</v>
      </c>
      <c r="M92" s="430">
        <f t="shared" si="66"/>
        <v>949898.0376109865</v>
      </c>
      <c r="O92" s="327">
        <v>2046</v>
      </c>
      <c r="P92" s="429">
        <f t="shared" si="86"/>
        <v>-60714.749723885965</v>
      </c>
      <c r="Q92" s="429">
        <f t="shared" si="87"/>
        <v>-61265.522582374513</v>
      </c>
      <c r="R92" s="429">
        <f t="shared" si="88"/>
        <v>1128.9895508033223</v>
      </c>
      <c r="S92" s="429">
        <f t="shared" si="89"/>
        <v>-370.57205834129127</v>
      </c>
      <c r="T92" s="429">
        <f t="shared" si="90"/>
        <v>-207.644633973483</v>
      </c>
      <c r="V92" s="327">
        <v>2046</v>
      </c>
      <c r="W92" s="429">
        <f t="shared" si="91"/>
        <v>-28313.659191306899</v>
      </c>
      <c r="X92" s="429">
        <f t="shared" si="73"/>
        <v>-28408.499795211654</v>
      </c>
      <c r="Y92" s="429">
        <f t="shared" si="74"/>
        <v>194.40691230534065</v>
      </c>
      <c r="Z92" s="429">
        <f t="shared" si="75"/>
        <v>-63.810838282342225</v>
      </c>
      <c r="AA92" s="429">
        <f t="shared" si="76"/>
        <v>-35.755470118243608</v>
      </c>
      <c r="AB92" s="432"/>
      <c r="AC92" s="327">
        <v>2046</v>
      </c>
      <c r="AD92" s="431">
        <f t="shared" si="61"/>
        <v>5.8073529249315037</v>
      </c>
      <c r="AE92" s="431">
        <f t="shared" si="62"/>
        <v>2.1565912675438432</v>
      </c>
    </row>
    <row r="93" spans="1:31">
      <c r="A93" s="327">
        <v>2047</v>
      </c>
      <c r="B93" s="430">
        <f t="shared" si="77"/>
        <v>30731520.762392767</v>
      </c>
      <c r="C93" s="430">
        <f t="shared" si="64"/>
        <v>28579436.337545585</v>
      </c>
      <c r="D93" s="430">
        <f t="shared" si="64"/>
        <v>1079609.4801373871</v>
      </c>
      <c r="E93" s="430">
        <f t="shared" si="64"/>
        <v>167194.36942693219</v>
      </c>
      <c r="F93" s="430">
        <f t="shared" si="64"/>
        <v>905280.57528286357</v>
      </c>
      <c r="H93" s="327">
        <v>2047</v>
      </c>
      <c r="I93" s="430">
        <f t="shared" si="78"/>
        <v>30668994.408553302</v>
      </c>
      <c r="J93" s="430">
        <f t="shared" si="66"/>
        <v>28516438.898147061</v>
      </c>
      <c r="K93" s="430">
        <f t="shared" si="66"/>
        <v>1080675.3829282713</v>
      </c>
      <c r="L93" s="430">
        <f t="shared" si="66"/>
        <v>166818.13226308973</v>
      </c>
      <c r="M93" s="430">
        <f t="shared" si="66"/>
        <v>905061.99521487963</v>
      </c>
      <c r="O93" s="327">
        <v>2047</v>
      </c>
      <c r="P93" s="429">
        <f t="shared" si="86"/>
        <v>-62526.353839465562</v>
      </c>
      <c r="Q93" s="429">
        <f t="shared" si="87"/>
        <v>-62997.43939852342</v>
      </c>
      <c r="R93" s="429">
        <f t="shared" si="88"/>
        <v>1065.9027908842545</v>
      </c>
      <c r="S93" s="429">
        <f t="shared" si="89"/>
        <v>-376.23716384245199</v>
      </c>
      <c r="T93" s="429">
        <f t="shared" si="90"/>
        <v>-218.5800679839449</v>
      </c>
      <c r="V93" s="327">
        <v>2047</v>
      </c>
      <c r="W93" s="429">
        <f t="shared" si="91"/>
        <v>-28284.945786418844</v>
      </c>
      <c r="X93" s="429">
        <f t="shared" si="73"/>
        <v>-28360.757758467946</v>
      </c>
      <c r="Y93" s="429">
        <f t="shared" si="74"/>
        <v>171.53612764353502</v>
      </c>
      <c r="Z93" s="429">
        <f t="shared" si="75"/>
        <v>-60.547984969230278</v>
      </c>
      <c r="AA93" s="429">
        <f t="shared" si="76"/>
        <v>-35.176170625204811</v>
      </c>
      <c r="AB93" s="432"/>
      <c r="AC93" s="327">
        <v>2047</v>
      </c>
      <c r="AD93" s="431">
        <f t="shared" si="61"/>
        <v>6.2138676296767095</v>
      </c>
      <c r="AE93" s="431">
        <f t="shared" si="62"/>
        <v>2.2212890055701586</v>
      </c>
    </row>
    <row r="94" spans="1:31">
      <c r="A94" s="327">
        <v>2048</v>
      </c>
      <c r="B94" s="430">
        <f t="shared" si="77"/>
        <v>31102514.441968866</v>
      </c>
      <c r="C94" s="430">
        <f t="shared" si="64"/>
        <v>29013067.85939255</v>
      </c>
      <c r="D94" s="430">
        <f t="shared" si="64"/>
        <v>1028659.9637097011</v>
      </c>
      <c r="E94" s="430">
        <f t="shared" si="64"/>
        <v>169980.44738176485</v>
      </c>
      <c r="F94" s="430">
        <f t="shared" si="64"/>
        <v>890806.17148484872</v>
      </c>
      <c r="H94" s="327">
        <v>2048</v>
      </c>
      <c r="I94" s="430">
        <f t="shared" si="78"/>
        <v>31036753.224985685</v>
      </c>
      <c r="J94" s="430">
        <f t="shared" si="66"/>
        <v>28947054.312932573</v>
      </c>
      <c r="K94" s="430">
        <f t="shared" si="66"/>
        <v>1029651.3670490193</v>
      </c>
      <c r="L94" s="430">
        <f t="shared" si="66"/>
        <v>169581.94420051592</v>
      </c>
      <c r="M94" s="430">
        <f t="shared" si="66"/>
        <v>890465.60080357664</v>
      </c>
      <c r="O94" s="327">
        <v>2048</v>
      </c>
      <c r="P94" s="429">
        <f t="shared" si="86"/>
        <v>-65761.216983179358</v>
      </c>
      <c r="Q94" s="429">
        <f t="shared" si="87"/>
        <v>-66013.546459976584</v>
      </c>
      <c r="R94" s="429">
        <f t="shared" si="88"/>
        <v>991.40333931823261</v>
      </c>
      <c r="S94" s="429">
        <f t="shared" si="89"/>
        <v>-398.50318124893238</v>
      </c>
      <c r="T94" s="429">
        <f t="shared" si="90"/>
        <v>-340.57068127207458</v>
      </c>
      <c r="V94" s="327">
        <v>2048</v>
      </c>
      <c r="W94" s="429">
        <f t="shared" si="91"/>
        <v>-28815.03564041989</v>
      </c>
      <c r="X94" s="429">
        <f t="shared" si="73"/>
        <v>-28852.986551991569</v>
      </c>
      <c r="Y94" s="429">
        <f t="shared" si="74"/>
        <v>149.10925564423928</v>
      </c>
      <c r="Z94" s="429">
        <f t="shared" si="75"/>
        <v>-59.935760120348114</v>
      </c>
      <c r="AA94" s="429">
        <f t="shared" si="76"/>
        <v>-51.222583952211004</v>
      </c>
      <c r="AB94" s="432"/>
      <c r="AC94" s="327">
        <v>2048</v>
      </c>
      <c r="AD94" s="431">
        <f t="shared" si="61"/>
        <v>6.6488383637540798</v>
      </c>
      <c r="AE94" s="431">
        <f t="shared" si="62"/>
        <v>2.2879276757372633</v>
      </c>
    </row>
    <row r="95" spans="1:31">
      <c r="A95" s="327">
        <v>2049</v>
      </c>
      <c r="B95" s="430">
        <f t="shared" ref="B95:B100" si="92">SUM(C95:F95)</f>
        <v>31116245.506762143</v>
      </c>
      <c r="C95" s="430">
        <f t="shared" si="64"/>
        <v>29122403.017045133</v>
      </c>
      <c r="D95" s="430">
        <f t="shared" si="64"/>
        <v>976533.47301656159</v>
      </c>
      <c r="E95" s="430">
        <f t="shared" si="64"/>
        <v>168546.79669047403</v>
      </c>
      <c r="F95" s="430">
        <f t="shared" si="64"/>
        <v>848762.22000997397</v>
      </c>
      <c r="H95" s="327">
        <v>2049</v>
      </c>
      <c r="I95" s="430">
        <f t="shared" ref="I95:I100" si="93">SUM(J95:M95)</f>
        <v>31048654.1374259</v>
      </c>
      <c r="J95" s="430">
        <f t="shared" si="66"/>
        <v>29054625.219330586</v>
      </c>
      <c r="K95" s="430">
        <f t="shared" si="66"/>
        <v>977469.21545984596</v>
      </c>
      <c r="L95" s="430">
        <f t="shared" si="66"/>
        <v>168142.70977178687</v>
      </c>
      <c r="M95" s="430">
        <f t="shared" si="66"/>
        <v>848416.99286368222</v>
      </c>
      <c r="O95" s="327">
        <v>2049</v>
      </c>
      <c r="P95" s="429">
        <f t="shared" ref="P95:P100" si="94">SUM(Q95:T95)</f>
        <v>-67591.369336240867</v>
      </c>
      <c r="Q95" s="429">
        <f t="shared" ref="Q95:Q100" si="95">J95-C95</f>
        <v>-67777.797714546323</v>
      </c>
      <c r="R95" s="429">
        <f t="shared" ref="R95:R100" si="96">K95-D95</f>
        <v>935.74244328436907</v>
      </c>
      <c r="S95" s="429">
        <f t="shared" ref="S95:S100" si="97">L95-E95</f>
        <v>-404.08691868715687</v>
      </c>
      <c r="T95" s="429">
        <f t="shared" ref="T95:T100" si="98">M95-F95</f>
        <v>-345.22714629175607</v>
      </c>
      <c r="V95" s="327">
        <v>2049</v>
      </c>
      <c r="W95" s="429">
        <f t="shared" ref="W95:W100" si="99">SUM(X95:AA95)</f>
        <v>-28735.057007249998</v>
      </c>
      <c r="X95" s="429">
        <f t="shared" si="73"/>
        <v>-28761.261904966756</v>
      </c>
      <c r="Y95" s="429">
        <f t="shared" si="74"/>
        <v>131.53059227560175</v>
      </c>
      <c r="Z95" s="429">
        <f t="shared" si="75"/>
        <v>-56.799594938959729</v>
      </c>
      <c r="AA95" s="429">
        <f t="shared" si="76"/>
        <v>-48.526099619883503</v>
      </c>
      <c r="AB95" s="432"/>
      <c r="AC95" s="327">
        <v>2049</v>
      </c>
      <c r="AD95" s="431">
        <f t="shared" si="61"/>
        <v>7.1142570492168655</v>
      </c>
      <c r="AE95" s="431">
        <f t="shared" si="62"/>
        <v>2.3565655060093813</v>
      </c>
    </row>
    <row r="96" spans="1:31">
      <c r="A96" s="327">
        <v>2050</v>
      </c>
      <c r="B96" s="430">
        <f t="shared" si="92"/>
        <v>31579159.480862293</v>
      </c>
      <c r="C96" s="430">
        <f t="shared" si="64"/>
        <v>29641540.811265346</v>
      </c>
      <c r="D96" s="430">
        <f t="shared" si="64"/>
        <v>939280.58915459784</v>
      </c>
      <c r="E96" s="430">
        <f t="shared" si="64"/>
        <v>167520.93290841067</v>
      </c>
      <c r="F96" s="430">
        <f t="shared" si="64"/>
        <v>830817.1475339398</v>
      </c>
      <c r="H96" s="327">
        <v>2050</v>
      </c>
      <c r="I96" s="430">
        <f t="shared" si="93"/>
        <v>31408499.096691843</v>
      </c>
      <c r="J96" s="430">
        <f t="shared" si="66"/>
        <v>29505496.872995276</v>
      </c>
      <c r="K96" s="430">
        <f t="shared" si="66"/>
        <v>927932.08543773112</v>
      </c>
      <c r="L96" s="430">
        <f t="shared" si="66"/>
        <v>166715.74955385478</v>
      </c>
      <c r="M96" s="430">
        <f t="shared" si="66"/>
        <v>808354.38870498165</v>
      </c>
      <c r="O96" s="327">
        <v>2050</v>
      </c>
      <c r="P96" s="429">
        <f>SUM(P95,P98)/2</f>
        <v>-67936.570105942883</v>
      </c>
      <c r="Q96" s="429">
        <f t="shared" ref="Q96:T96" si="100">SUM(Q95,Q98)/2</f>
        <v>-68128.475033409894</v>
      </c>
      <c r="R96" s="429">
        <f t="shared" si="100"/>
        <v>884.00200310727814</v>
      </c>
      <c r="S96" s="429">
        <f t="shared" si="100"/>
        <v>-401.24454099660215</v>
      </c>
      <c r="T96" s="429">
        <f t="shared" si="100"/>
        <v>-290.85253464366542</v>
      </c>
      <c r="V96" s="327">
        <v>2050</v>
      </c>
      <c r="W96" s="429">
        <f t="shared" si="99"/>
        <v>-28042.819662685764</v>
      </c>
      <c r="X96" s="429">
        <f t="shared" si="73"/>
        <v>-28068.029659774867</v>
      </c>
      <c r="Y96" s="429">
        <f t="shared" si="74"/>
        <v>116.12879470708563</v>
      </c>
      <c r="Z96" s="429">
        <f t="shared" si="75"/>
        <v>-52.710338624740139</v>
      </c>
      <c r="AA96" s="429">
        <f t="shared" si="76"/>
        <v>-38.208458993243703</v>
      </c>
      <c r="AB96" s="432"/>
      <c r="AC96" s="327">
        <v>2050</v>
      </c>
      <c r="AD96" s="431">
        <f t="shared" si="61"/>
        <v>7.6122550426620466</v>
      </c>
      <c r="AE96" s="431">
        <f t="shared" si="62"/>
        <v>2.4272624711896627</v>
      </c>
    </row>
    <row r="97" spans="1:31">
      <c r="A97" s="327">
        <v>2051</v>
      </c>
      <c r="B97" s="430">
        <f t="shared" si="92"/>
        <v>31136080.162259251</v>
      </c>
      <c r="C97" s="430">
        <f t="shared" si="64"/>
        <v>29293790.905548878</v>
      </c>
      <c r="D97" s="430">
        <f t="shared" si="64"/>
        <v>888122.8295324177</v>
      </c>
      <c r="E97" s="430">
        <f t="shared" si="64"/>
        <v>165539.36841352363</v>
      </c>
      <c r="F97" s="430">
        <f t="shared" si="64"/>
        <v>788627.05876443046</v>
      </c>
      <c r="H97" s="327">
        <v>2051</v>
      </c>
      <c r="I97" s="430">
        <f t="shared" si="93"/>
        <v>31067015.987505894</v>
      </c>
      <c r="J97" s="430">
        <f t="shared" si="66"/>
        <v>29224498.829432286</v>
      </c>
      <c r="K97" s="430">
        <f t="shared" si="66"/>
        <v>889003.03112747334</v>
      </c>
      <c r="L97" s="430">
        <f t="shared" si="66"/>
        <v>165136.19723612102</v>
      </c>
      <c r="M97" s="430">
        <f t="shared" si="66"/>
        <v>788377.92971001333</v>
      </c>
      <c r="O97" s="327">
        <v>2051</v>
      </c>
      <c r="P97" s="429">
        <f t="shared" si="94"/>
        <v>-69064.174753355794</v>
      </c>
      <c r="Q97" s="429">
        <f t="shared" si="95"/>
        <v>-69292.076116591692</v>
      </c>
      <c r="R97" s="429">
        <f t="shared" si="96"/>
        <v>880.20159505563788</v>
      </c>
      <c r="S97" s="429">
        <f t="shared" si="97"/>
        <v>-403.17117740260437</v>
      </c>
      <c r="T97" s="429">
        <f t="shared" si="98"/>
        <v>-249.12905441713519</v>
      </c>
      <c r="V97" s="327">
        <v>2051</v>
      </c>
      <c r="W97" s="429">
        <f t="shared" si="99"/>
        <v>-27687.959572566928</v>
      </c>
      <c r="X97" s="429">
        <f t="shared" si="73"/>
        <v>-27715.939708159356</v>
      </c>
      <c r="Y97" s="429">
        <f t="shared" si="74"/>
        <v>108.06499631526219</v>
      </c>
      <c r="Z97" s="429">
        <f t="shared" si="75"/>
        <v>-49.498537659067033</v>
      </c>
      <c r="AA97" s="429">
        <f t="shared" si="76"/>
        <v>-30.5863230637644</v>
      </c>
      <c r="AB97" s="432"/>
      <c r="AC97" s="327">
        <v>2051</v>
      </c>
      <c r="AD97" s="431">
        <f t="shared" si="61"/>
        <v>8.1451128956483902</v>
      </c>
      <c r="AE97" s="431">
        <f t="shared" si="62"/>
        <v>2.5000803453253524</v>
      </c>
    </row>
    <row r="98" spans="1:31">
      <c r="A98" s="327">
        <v>2052</v>
      </c>
      <c r="B98" s="430">
        <f t="shared" si="92"/>
        <v>30702032.802562457</v>
      </c>
      <c r="C98" s="430">
        <f t="shared" si="64"/>
        <v>28950120.747160524</v>
      </c>
      <c r="D98" s="430">
        <f t="shared" si="64"/>
        <v>839751.3687008007</v>
      </c>
      <c r="E98" s="430">
        <f t="shared" si="64"/>
        <v>163581.24336455666</v>
      </c>
      <c r="F98" s="430">
        <f t="shared" si="64"/>
        <v>748579.44333657355</v>
      </c>
      <c r="H98" s="327">
        <v>2052</v>
      </c>
      <c r="I98" s="430">
        <f t="shared" si="93"/>
        <v>30633751.031686809</v>
      </c>
      <c r="J98" s="430">
        <f t="shared" si="66"/>
        <v>28881641.594808251</v>
      </c>
      <c r="K98" s="430">
        <f t="shared" si="66"/>
        <v>840583.63026373088</v>
      </c>
      <c r="L98" s="430">
        <f t="shared" si="66"/>
        <v>163182.84120125062</v>
      </c>
      <c r="M98" s="430">
        <f t="shared" si="66"/>
        <v>748342.96541357797</v>
      </c>
      <c r="O98" s="327">
        <v>2052</v>
      </c>
      <c r="P98" s="429">
        <f t="shared" si="94"/>
        <v>-68281.770875644899</v>
      </c>
      <c r="Q98" s="429">
        <f t="shared" si="95"/>
        <v>-68479.152352273464</v>
      </c>
      <c r="R98" s="429">
        <f t="shared" si="96"/>
        <v>832.26156293018721</v>
      </c>
      <c r="S98" s="429">
        <f t="shared" si="97"/>
        <v>-398.40216330604744</v>
      </c>
      <c r="T98" s="429">
        <f t="shared" si="98"/>
        <v>-236.47792299557477</v>
      </c>
      <c r="V98" s="327">
        <v>2052</v>
      </c>
      <c r="W98" s="429">
        <f t="shared" si="99"/>
        <v>-26570.343151471036</v>
      </c>
      <c r="X98" s="429">
        <f t="shared" si="73"/>
        <v>-26592.990924695256</v>
      </c>
      <c r="Y98" s="429">
        <f t="shared" si="74"/>
        <v>95.494630308945474</v>
      </c>
      <c r="Z98" s="429">
        <f t="shared" si="75"/>
        <v>-45.71311351355353</v>
      </c>
      <c r="AA98" s="429">
        <f t="shared" si="76"/>
        <v>-27.133743571170989</v>
      </c>
      <c r="AB98" s="432"/>
      <c r="AC98" s="327">
        <v>2052</v>
      </c>
      <c r="AD98" s="431">
        <f t="shared" si="61"/>
        <v>8.7152707983437789</v>
      </c>
      <c r="AE98" s="431">
        <f t="shared" si="62"/>
        <v>2.5750827556851132</v>
      </c>
    </row>
    <row r="99" spans="1:31">
      <c r="A99" s="327">
        <v>2053</v>
      </c>
      <c r="B99" s="430">
        <f t="shared" si="92"/>
        <v>30276708.708385594</v>
      </c>
      <c r="C99" s="430">
        <f t="shared" si="64"/>
        <v>28610482.473144785</v>
      </c>
      <c r="D99" s="430">
        <f t="shared" si="64"/>
        <v>794014.45136382221</v>
      </c>
      <c r="E99" s="430">
        <f t="shared" si="64"/>
        <v>161646.28050198767</v>
      </c>
      <c r="F99" s="430">
        <f t="shared" si="64"/>
        <v>710565.50337500125</v>
      </c>
      <c r="H99" s="327">
        <v>2053</v>
      </c>
      <c r="I99" s="430">
        <f t="shared" si="93"/>
        <v>30209201.716485269</v>
      </c>
      <c r="J99" s="430">
        <f t="shared" si="66"/>
        <v>28542806.707462784</v>
      </c>
      <c r="K99" s="430">
        <f t="shared" si="66"/>
        <v>794801.38394042943</v>
      </c>
      <c r="L99" s="430">
        <f t="shared" si="66"/>
        <v>161252.5909412668</v>
      </c>
      <c r="M99" s="430">
        <f t="shared" si="66"/>
        <v>710341.03414079221</v>
      </c>
      <c r="O99" s="327">
        <v>2053</v>
      </c>
      <c r="P99" s="429">
        <f t="shared" si="94"/>
        <v>-67506.991900323366</v>
      </c>
      <c r="Q99" s="429">
        <f t="shared" si="95"/>
        <v>-67675.765682000667</v>
      </c>
      <c r="R99" s="429">
        <f t="shared" si="96"/>
        <v>786.93257660721429</v>
      </c>
      <c r="S99" s="429">
        <f t="shared" si="97"/>
        <v>-393.68956072087167</v>
      </c>
      <c r="T99" s="429">
        <f t="shared" si="98"/>
        <v>-224.46923420904204</v>
      </c>
      <c r="V99" s="327">
        <v>2053</v>
      </c>
      <c r="W99" s="429">
        <f t="shared" si="99"/>
        <v>-25497.441524348465</v>
      </c>
      <c r="X99" s="429">
        <f t="shared" si="73"/>
        <v>-25515.539929996452</v>
      </c>
      <c r="Y99" s="429">
        <f t="shared" si="74"/>
        <v>84.386477849286024</v>
      </c>
      <c r="Z99" s="429">
        <f t="shared" si="75"/>
        <v>-42.217181475064649</v>
      </c>
      <c r="AA99" s="429">
        <f t="shared" si="76"/>
        <v>-24.070890726235906</v>
      </c>
      <c r="AB99" s="432"/>
      <c r="AC99" s="327">
        <v>2053</v>
      </c>
      <c r="AD99" s="431">
        <f t="shared" si="61"/>
        <v>9.3253397542278442</v>
      </c>
      <c r="AE99" s="431">
        <f t="shared" si="62"/>
        <v>2.6523352383556666</v>
      </c>
    </row>
    <row r="100" spans="1:31">
      <c r="A100" s="327">
        <v>2054</v>
      </c>
      <c r="B100" s="430">
        <f t="shared" si="92"/>
        <v>29859813.541381869</v>
      </c>
      <c r="C100" s="430">
        <f t="shared" si="64"/>
        <v>28274828.782066848</v>
      </c>
      <c r="D100" s="430">
        <f t="shared" si="64"/>
        <v>750768.58755227702</v>
      </c>
      <c r="E100" s="430">
        <f t="shared" si="64"/>
        <v>159734.20584593015</v>
      </c>
      <c r="F100" s="430">
        <f t="shared" si="64"/>
        <v>674481.96591681743</v>
      </c>
      <c r="H100" s="327">
        <v>2054</v>
      </c>
      <c r="I100" s="430">
        <f t="shared" si="93"/>
        <v>29793073.706523433</v>
      </c>
      <c r="J100" s="430">
        <f t="shared" si="66"/>
        <v>28207946.977848761</v>
      </c>
      <c r="K100" s="430">
        <f t="shared" si="66"/>
        <v>751512.65997819265</v>
      </c>
      <c r="L100" s="430">
        <f t="shared" si="66"/>
        <v>159345.17314356114</v>
      </c>
      <c r="M100" s="430">
        <f t="shared" si="66"/>
        <v>674268.89555291983</v>
      </c>
      <c r="O100" s="327">
        <v>2054</v>
      </c>
      <c r="P100" s="429">
        <f t="shared" si="94"/>
        <v>-66739.83485843832</v>
      </c>
      <c r="Q100" s="429">
        <f t="shared" si="95"/>
        <v>-66881.804218087345</v>
      </c>
      <c r="R100" s="429">
        <f t="shared" si="96"/>
        <v>744.07242591562681</v>
      </c>
      <c r="S100" s="429">
        <f t="shared" si="97"/>
        <v>-389.03270236900426</v>
      </c>
      <c r="T100" s="429">
        <f t="shared" si="98"/>
        <v>-213.07036389759742</v>
      </c>
      <c r="V100" s="327">
        <v>2054</v>
      </c>
      <c r="W100" s="429">
        <f t="shared" si="99"/>
        <v>-24467.515243425376</v>
      </c>
      <c r="X100" s="429">
        <f t="shared" si="73"/>
        <v>-24481.743319616555</v>
      </c>
      <c r="Y100" s="429">
        <f t="shared" si="74"/>
        <v>74.570450932908884</v>
      </c>
      <c r="Z100" s="429">
        <f t="shared" si="75"/>
        <v>-38.988602497405772</v>
      </c>
      <c r="AA100" s="429">
        <f t="shared" si="76"/>
        <v>-21.35377224432251</v>
      </c>
      <c r="AB100" s="432"/>
      <c r="AC100" s="327">
        <v>2054</v>
      </c>
      <c r="AD100" s="431">
        <f t="shared" si="61"/>
        <v>9.9781135370237948</v>
      </c>
      <c r="AE100" s="431">
        <f t="shared" si="62"/>
        <v>2.7319052955063365</v>
      </c>
    </row>
    <row r="107" spans="1:31">
      <c r="A107" s="264"/>
    </row>
    <row r="109" spans="1:31">
      <c r="A109" s="428"/>
    </row>
    <row r="110" spans="1:31">
      <c r="A110" s="309"/>
    </row>
    <row r="111" spans="1:31">
      <c r="A111" s="309"/>
    </row>
    <row r="112" spans="1:31">
      <c r="A112" s="309"/>
    </row>
    <row r="113" spans="1:1">
      <c r="A113" s="309"/>
    </row>
    <row r="114" spans="1:1">
      <c r="A114" s="309"/>
    </row>
    <row r="115" spans="1:1">
      <c r="A115" s="309"/>
    </row>
    <row r="116" spans="1:1">
      <c r="A116" s="309"/>
    </row>
    <row r="117" spans="1:1">
      <c r="A117" s="309"/>
    </row>
    <row r="118" spans="1:1">
      <c r="A118" s="309"/>
    </row>
    <row r="119" spans="1:1">
      <c r="A119" s="309"/>
    </row>
    <row r="120" spans="1:1">
      <c r="A120" s="309"/>
    </row>
    <row r="121" spans="1:1">
      <c r="A121" s="309"/>
    </row>
    <row r="122" spans="1:1">
      <c r="A122" s="309"/>
    </row>
    <row r="123" spans="1:1">
      <c r="A123" s="309"/>
    </row>
    <row r="124" spans="1:1">
      <c r="A124" s="309"/>
    </row>
    <row r="125" spans="1:1">
      <c r="A125" s="309"/>
    </row>
    <row r="126" spans="1:1">
      <c r="A126" s="309"/>
    </row>
    <row r="127" spans="1:1">
      <c r="A127" s="309"/>
    </row>
    <row r="128" spans="1:1">
      <c r="A128" s="309"/>
    </row>
    <row r="129" spans="1:1">
      <c r="A129" s="309"/>
    </row>
    <row r="130" spans="1:1">
      <c r="A130" s="309"/>
    </row>
  </sheetData>
  <mergeCells count="6">
    <mergeCell ref="V69:AA69"/>
    <mergeCell ref="B3:F3"/>
    <mergeCell ref="I3:M3"/>
    <mergeCell ref="B69:F69"/>
    <mergeCell ref="I69:M69"/>
    <mergeCell ref="O69:T69"/>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231"/>
  <sheetViews>
    <sheetView workbookViewId="0">
      <selection activeCell="A24" sqref="A24"/>
    </sheetView>
  </sheetViews>
  <sheetFormatPr defaultColWidth="9.109375" defaultRowHeight="13.2"/>
  <cols>
    <col min="1" max="1" width="36.33203125" style="43" customWidth="1"/>
    <col min="2" max="2" width="128.88671875" style="43" customWidth="1"/>
    <col min="3" max="3" width="9.109375" style="41"/>
    <col min="4" max="4" width="44.6640625" style="41" customWidth="1"/>
    <col min="5" max="7" width="9.109375" style="41"/>
    <col min="8" max="16384" width="9.109375" style="43"/>
  </cols>
  <sheetData>
    <row r="1" spans="1:8">
      <c r="A1" s="42"/>
      <c r="B1" s="41"/>
    </row>
    <row r="2" spans="1:8" ht="22.8">
      <c r="A2" s="44" t="str">
        <f>'Title Sheet'!$A$2</f>
        <v>Benefit-Cost Analysis Spreadsheet for the Illinois International Port - Calumet Bridges Rehabilitation Project</v>
      </c>
      <c r="B2" s="44"/>
    </row>
    <row r="3" spans="1:8">
      <c r="A3" s="45"/>
      <c r="B3" s="41"/>
    </row>
    <row r="4" spans="1:8">
      <c r="A4" s="45"/>
      <c r="B4" s="41"/>
      <c r="C4" s="46"/>
      <c r="D4" s="46"/>
      <c r="E4" s="46"/>
      <c r="F4" s="46"/>
      <c r="G4" s="46"/>
      <c r="H4" s="47"/>
    </row>
    <row r="5" spans="1:8" ht="26.25" customHeight="1">
      <c r="A5" s="443" t="s">
        <v>55</v>
      </c>
      <c r="B5" s="443"/>
      <c r="C5" s="46"/>
      <c r="D5" s="46"/>
      <c r="E5" s="46"/>
      <c r="F5" s="46"/>
      <c r="G5" s="46"/>
      <c r="H5" s="47"/>
    </row>
    <row r="6" spans="1:8" s="47" customFormat="1" ht="35.25" customHeight="1">
      <c r="A6" s="444" t="s">
        <v>56</v>
      </c>
      <c r="B6" s="444"/>
      <c r="C6" s="46"/>
      <c r="D6" s="46"/>
      <c r="E6" s="46"/>
      <c r="F6" s="46"/>
      <c r="G6" s="46"/>
    </row>
    <row r="7" spans="1:8" s="47" customFormat="1">
      <c r="C7" s="46"/>
      <c r="D7" s="46"/>
      <c r="E7" s="46"/>
      <c r="F7" s="46"/>
      <c r="G7" s="46"/>
    </row>
    <row r="8" spans="1:8" s="47" customFormat="1">
      <c r="A8" s="48" t="s">
        <v>57</v>
      </c>
      <c r="B8" s="48" t="s">
        <v>58</v>
      </c>
      <c r="C8" s="46"/>
      <c r="D8" s="46"/>
      <c r="E8" s="46"/>
      <c r="F8" s="46"/>
      <c r="G8" s="46"/>
    </row>
    <row r="9" spans="1:8" s="47" customFormat="1">
      <c r="A9" s="445" t="s">
        <v>59</v>
      </c>
      <c r="B9" s="49" t="s">
        <v>60</v>
      </c>
      <c r="C9" s="46"/>
      <c r="D9" s="46"/>
      <c r="E9" s="46"/>
      <c r="F9" s="46"/>
      <c r="G9" s="46"/>
    </row>
    <row r="10" spans="1:8" s="47" customFormat="1">
      <c r="A10" s="445"/>
      <c r="B10" s="49" t="s">
        <v>61</v>
      </c>
      <c r="C10" s="46"/>
      <c r="D10" s="46"/>
      <c r="E10" s="46"/>
      <c r="F10" s="46"/>
      <c r="G10" s="46"/>
    </row>
    <row r="11" spans="1:8" s="47" customFormat="1">
      <c r="A11" s="445"/>
      <c r="B11" s="49" t="s">
        <v>62</v>
      </c>
      <c r="C11" s="46"/>
      <c r="D11" s="46"/>
      <c r="E11" s="46"/>
      <c r="F11" s="46"/>
      <c r="G11" s="46"/>
    </row>
    <row r="12" spans="1:8" s="47" customFormat="1">
      <c r="A12" s="445"/>
      <c r="B12" s="50" t="s">
        <v>63</v>
      </c>
      <c r="C12" s="46"/>
      <c r="D12" s="46"/>
      <c r="E12" s="46"/>
      <c r="F12" s="46"/>
      <c r="G12" s="46"/>
    </row>
    <row r="13" spans="1:8" s="47" customFormat="1">
      <c r="A13" s="445"/>
      <c r="B13" s="49" t="s">
        <v>64</v>
      </c>
      <c r="C13" s="46"/>
      <c r="D13" s="46"/>
      <c r="E13" s="46"/>
      <c r="F13" s="46"/>
      <c r="G13" s="46"/>
    </row>
    <row r="14" spans="1:8" s="47" customFormat="1">
      <c r="A14" s="445"/>
      <c r="B14" s="49" t="s">
        <v>65</v>
      </c>
      <c r="C14" s="46"/>
      <c r="D14" s="46"/>
      <c r="E14" s="46"/>
      <c r="F14" s="46"/>
      <c r="G14" s="46"/>
    </row>
    <row r="15" spans="1:8" s="186" customFormat="1">
      <c r="A15" s="445"/>
      <c r="B15" s="49" t="s">
        <v>66</v>
      </c>
      <c r="C15" s="190"/>
      <c r="D15" s="190"/>
      <c r="E15" s="190"/>
      <c r="F15" s="190"/>
      <c r="G15" s="190"/>
    </row>
    <row r="16" spans="1:8" s="47" customFormat="1" ht="13.5" customHeight="1">
      <c r="A16" s="445"/>
      <c r="B16" s="203" t="s">
        <v>184</v>
      </c>
      <c r="C16" s="46"/>
      <c r="D16" s="46"/>
      <c r="E16" s="46"/>
      <c r="F16" s="46"/>
      <c r="G16" s="46"/>
    </row>
    <row r="17" spans="1:7" s="47" customFormat="1" ht="27" customHeight="1">
      <c r="A17" s="51" t="s">
        <v>134</v>
      </c>
      <c r="B17" s="51" t="s">
        <v>67</v>
      </c>
      <c r="C17" s="46"/>
      <c r="D17" s="46"/>
      <c r="E17" s="46"/>
      <c r="F17" s="46"/>
      <c r="G17" s="46"/>
    </row>
    <row r="18" spans="1:7" s="47" customFormat="1" ht="27" customHeight="1">
      <c r="A18" s="51" t="s">
        <v>135</v>
      </c>
      <c r="B18" s="51" t="s">
        <v>136</v>
      </c>
      <c r="C18" s="46"/>
      <c r="D18" s="46"/>
      <c r="E18" s="46"/>
      <c r="F18" s="46"/>
      <c r="G18" s="46"/>
    </row>
    <row r="19" spans="1:7" s="47" customFormat="1" ht="27" customHeight="1">
      <c r="A19" s="51" t="s">
        <v>138</v>
      </c>
      <c r="B19" s="51" t="s">
        <v>137</v>
      </c>
      <c r="C19" s="46"/>
      <c r="D19" s="46"/>
      <c r="E19" s="46"/>
      <c r="F19" s="46"/>
      <c r="G19" s="46"/>
    </row>
    <row r="20" spans="1:7" s="47" customFormat="1" ht="27" customHeight="1">
      <c r="A20" s="51" t="s">
        <v>68</v>
      </c>
      <c r="B20" s="51" t="s">
        <v>69</v>
      </c>
      <c r="C20" s="46"/>
      <c r="D20" s="46"/>
      <c r="E20" s="46"/>
      <c r="F20" s="46"/>
      <c r="G20" s="46"/>
    </row>
    <row r="21" spans="1:7" s="47" customFormat="1" ht="44.25" customHeight="1">
      <c r="A21" s="52" t="s">
        <v>139</v>
      </c>
      <c r="B21" s="52" t="s">
        <v>140</v>
      </c>
      <c r="C21" s="46"/>
      <c r="D21" s="46"/>
      <c r="E21" s="46"/>
      <c r="F21" s="46"/>
      <c r="G21" s="46"/>
    </row>
    <row r="22" spans="1:7" s="47" customFormat="1" ht="44.25" customHeight="1">
      <c r="A22" s="53" t="s">
        <v>164</v>
      </c>
      <c r="B22" s="53" t="s">
        <v>236</v>
      </c>
      <c r="C22" s="46"/>
      <c r="D22" s="46"/>
      <c r="E22" s="46"/>
      <c r="F22" s="46"/>
      <c r="G22" s="46"/>
    </row>
    <row r="23" spans="1:7" s="47" customFormat="1" ht="44.25" customHeight="1">
      <c r="A23" s="53" t="s">
        <v>268</v>
      </c>
      <c r="B23" s="53" t="s">
        <v>237</v>
      </c>
      <c r="C23" s="46"/>
      <c r="D23" s="46"/>
      <c r="E23" s="46"/>
      <c r="F23" s="46"/>
      <c r="G23" s="46"/>
    </row>
    <row r="24" spans="1:7" s="47" customFormat="1" ht="44.25" customHeight="1">
      <c r="A24" s="53" t="s">
        <v>166</v>
      </c>
      <c r="B24" s="53" t="s">
        <v>238</v>
      </c>
      <c r="C24" s="46"/>
      <c r="D24" s="46"/>
      <c r="E24" s="46"/>
      <c r="F24" s="46"/>
      <c r="G24" s="46"/>
    </row>
    <row r="25" spans="1:7" s="47" customFormat="1" ht="54.75" customHeight="1">
      <c r="A25" s="157" t="s">
        <v>141</v>
      </c>
      <c r="B25" s="157" t="s">
        <v>239</v>
      </c>
      <c r="C25" s="46"/>
      <c r="D25" s="46"/>
      <c r="E25" s="46"/>
      <c r="F25" s="46"/>
      <c r="G25" s="46"/>
    </row>
    <row r="26" spans="1:7" s="47" customFormat="1" ht="38.25" customHeight="1">
      <c r="A26" s="157" t="s">
        <v>142</v>
      </c>
      <c r="B26" s="157" t="s">
        <v>178</v>
      </c>
      <c r="C26" s="46"/>
      <c r="D26" s="46"/>
      <c r="E26" s="46"/>
      <c r="F26" s="46"/>
      <c r="G26" s="46"/>
    </row>
    <row r="27" spans="1:7" s="47" customFormat="1" ht="38.25" customHeight="1">
      <c r="A27" s="54" t="s">
        <v>143</v>
      </c>
      <c r="B27" s="54" t="s">
        <v>195</v>
      </c>
      <c r="C27" s="46"/>
      <c r="D27" s="46"/>
      <c r="E27" s="46"/>
      <c r="F27" s="46"/>
      <c r="G27" s="46"/>
    </row>
    <row r="28" spans="1:7" s="186" customFormat="1" ht="38.25" customHeight="1">
      <c r="A28" s="54" t="s">
        <v>255</v>
      </c>
      <c r="B28" s="54" t="s">
        <v>256</v>
      </c>
      <c r="C28" s="190"/>
      <c r="D28" s="190"/>
      <c r="E28" s="190"/>
      <c r="F28" s="190"/>
      <c r="G28" s="190"/>
    </row>
    <row r="29" spans="1:7" s="47" customFormat="1" ht="38.25" customHeight="1">
      <c r="A29" s="54" t="s">
        <v>144</v>
      </c>
      <c r="B29" s="158" t="s">
        <v>145</v>
      </c>
      <c r="C29" s="46"/>
      <c r="D29" s="46"/>
      <c r="E29" s="46"/>
      <c r="F29" s="46"/>
      <c r="G29" s="46"/>
    </row>
    <row r="30" spans="1:7" s="47" customFormat="1" ht="32.25" customHeight="1">
      <c r="A30" s="54" t="s">
        <v>146</v>
      </c>
      <c r="B30" s="54" t="s">
        <v>147</v>
      </c>
      <c r="C30" s="46"/>
      <c r="D30" s="46"/>
      <c r="E30" s="46"/>
      <c r="F30" s="46"/>
      <c r="G30" s="46"/>
    </row>
    <row r="31" spans="1:7" s="47" customFormat="1" ht="33" customHeight="1">
      <c r="A31" s="54" t="s">
        <v>148</v>
      </c>
      <c r="B31" s="54" t="s">
        <v>149</v>
      </c>
      <c r="C31" s="46"/>
      <c r="D31" s="46"/>
      <c r="E31" s="46"/>
      <c r="F31" s="46"/>
      <c r="G31" s="46"/>
    </row>
    <row r="32" spans="1:7" s="41" customFormat="1"/>
    <row r="33" s="41" customFormat="1"/>
    <row r="34" s="41" customFormat="1"/>
    <row r="35" s="41" customFormat="1"/>
    <row r="36" s="41" customFormat="1"/>
    <row r="37" s="41" customFormat="1"/>
    <row r="38" s="41" customFormat="1"/>
    <row r="39" s="41" customFormat="1"/>
    <row r="40" s="41" customFormat="1"/>
    <row r="41" s="41" customFormat="1"/>
    <row r="42" s="41" customFormat="1"/>
    <row r="43" s="41" customFormat="1"/>
    <row r="44" s="41" customFormat="1"/>
    <row r="45" s="41" customFormat="1"/>
    <row r="46" s="41" customFormat="1"/>
    <row r="47" s="41" customFormat="1"/>
    <row r="48"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row r="82" s="41" customFormat="1"/>
    <row r="83" s="41" customFormat="1"/>
    <row r="84" s="41" customFormat="1"/>
    <row r="85" s="41" customFormat="1"/>
    <row r="86" s="41" customFormat="1"/>
    <row r="87" s="41" customFormat="1"/>
    <row r="88" s="41" customFormat="1"/>
    <row r="89" s="41" customFormat="1"/>
    <row r="90" s="41" customFormat="1"/>
    <row r="91" s="41" customFormat="1"/>
    <row r="92" s="41" customFormat="1"/>
    <row r="93" s="41" customFormat="1"/>
    <row r="94" s="41" customFormat="1"/>
    <row r="95" s="41" customFormat="1"/>
    <row r="96" s="41" customFormat="1"/>
    <row r="97" s="41" customFormat="1"/>
    <row r="98" s="41" customFormat="1"/>
    <row r="99" s="41" customFormat="1"/>
    <row r="100" s="41" customFormat="1"/>
    <row r="101" s="41" customFormat="1"/>
    <row r="102" s="41" customFormat="1"/>
    <row r="103" s="41" customFormat="1"/>
    <row r="104" s="41" customFormat="1"/>
    <row r="105" s="41" customFormat="1"/>
    <row r="106" s="41" customFormat="1"/>
    <row r="107" s="41" customFormat="1"/>
    <row r="108" s="41" customFormat="1"/>
    <row r="109" s="41" customFormat="1"/>
    <row r="110" s="41" customFormat="1"/>
    <row r="111" s="41" customFormat="1"/>
    <row r="112" s="41" customFormat="1"/>
    <row r="113" s="41" customFormat="1"/>
    <row r="114" s="41" customFormat="1"/>
    <row r="115" s="41" customFormat="1"/>
    <row r="116" s="41" customFormat="1"/>
    <row r="117" s="41" customFormat="1"/>
    <row r="118" s="41" customFormat="1"/>
    <row r="119" s="41" customFormat="1"/>
    <row r="120" s="41" customFormat="1"/>
    <row r="121" s="41" customFormat="1"/>
    <row r="122" s="41" customFormat="1"/>
    <row r="123" s="41" customFormat="1"/>
    <row r="124" s="41" customFormat="1"/>
    <row r="125" s="41" customFormat="1"/>
    <row r="126" s="41" customFormat="1"/>
    <row r="127" s="41" customFormat="1"/>
    <row r="128" s="41" customFormat="1"/>
    <row r="129" s="41" customFormat="1"/>
    <row r="130" s="41" customFormat="1"/>
    <row r="131" s="41" customFormat="1"/>
    <row r="132" s="41" customFormat="1"/>
    <row r="133" s="41" customFormat="1"/>
    <row r="134" s="41" customFormat="1"/>
    <row r="135" s="41" customFormat="1"/>
    <row r="136" s="41" customFormat="1"/>
    <row r="137" s="41" customFormat="1"/>
    <row r="138" s="41" customFormat="1"/>
    <row r="139" s="41" customFormat="1"/>
    <row r="140" s="41" customFormat="1"/>
    <row r="141" s="41" customFormat="1"/>
    <row r="142" s="41" customFormat="1"/>
    <row r="143" s="41" customFormat="1"/>
    <row r="144" s="41" customFormat="1"/>
    <row r="145" s="41" customFormat="1"/>
    <row r="146" s="41" customFormat="1"/>
    <row r="147" s="41" customFormat="1"/>
    <row r="148" s="41" customFormat="1"/>
    <row r="149" s="41" customFormat="1"/>
    <row r="150" s="41" customFormat="1"/>
    <row r="151" s="41" customFormat="1"/>
    <row r="152" s="41" customFormat="1"/>
    <row r="153" s="41" customFormat="1"/>
    <row r="154" s="41" customFormat="1"/>
    <row r="155" s="41" customFormat="1"/>
    <row r="156" s="41" customFormat="1"/>
    <row r="157" s="41" customFormat="1"/>
    <row r="158" s="41" customFormat="1"/>
    <row r="159" s="41" customFormat="1"/>
    <row r="160" s="41" customFormat="1"/>
    <row r="161" s="41" customFormat="1"/>
    <row r="162" s="41" customFormat="1"/>
    <row r="163" s="41" customFormat="1"/>
    <row r="164" s="41" customFormat="1"/>
    <row r="165" s="41" customFormat="1"/>
    <row r="166" s="41" customFormat="1"/>
    <row r="167" s="41" customFormat="1"/>
    <row r="168" s="41" customFormat="1"/>
    <row r="169" s="41" customFormat="1"/>
    <row r="170" s="41" customFormat="1"/>
    <row r="171" s="41" customFormat="1"/>
    <row r="172" s="41" customFormat="1"/>
    <row r="173" s="41" customFormat="1"/>
    <row r="174" s="41" customFormat="1"/>
    <row r="175" s="41" customFormat="1"/>
    <row r="176" s="41" customFormat="1"/>
    <row r="177" s="41" customFormat="1"/>
    <row r="178" s="41" customFormat="1"/>
    <row r="179" s="41" customFormat="1"/>
    <row r="180" s="41" customFormat="1"/>
    <row r="181" s="41" customFormat="1"/>
    <row r="182" s="41" customFormat="1"/>
    <row r="183" s="41" customFormat="1"/>
    <row r="184" s="41" customFormat="1"/>
    <row r="185" s="41" customFormat="1"/>
    <row r="186" s="41" customFormat="1"/>
    <row r="187" s="41" customFormat="1"/>
    <row r="188" s="41" customFormat="1"/>
    <row r="189" s="41" customFormat="1"/>
    <row r="190" s="41" customFormat="1"/>
    <row r="191" s="41" customFormat="1"/>
    <row r="192" s="41" customFormat="1"/>
    <row r="193" s="41" customFormat="1"/>
    <row r="194" s="41" customFormat="1"/>
    <row r="195" s="41" customFormat="1"/>
    <row r="196" s="41" customFormat="1"/>
    <row r="197" s="41" customFormat="1"/>
    <row r="198" s="41" customFormat="1"/>
    <row r="199" s="41" customFormat="1"/>
    <row r="200" s="41" customFormat="1"/>
    <row r="201" s="41" customFormat="1"/>
    <row r="202" s="41" customFormat="1"/>
    <row r="203" s="41" customFormat="1"/>
    <row r="204" s="41" customFormat="1"/>
    <row r="205" s="41" customFormat="1"/>
    <row r="206" s="41" customFormat="1"/>
    <row r="207" s="41" customFormat="1"/>
    <row r="208" s="41" customFormat="1"/>
    <row r="209" s="41" customFormat="1"/>
    <row r="210" s="41" customFormat="1"/>
    <row r="211" s="41" customFormat="1"/>
    <row r="212" s="41" customFormat="1"/>
    <row r="213" s="41" customFormat="1"/>
    <row r="214" s="41" customFormat="1"/>
    <row r="215" s="41" customFormat="1"/>
    <row r="216" s="41" customFormat="1"/>
    <row r="217" s="41" customFormat="1"/>
    <row r="218" s="41" customFormat="1"/>
    <row r="219" s="41" customFormat="1"/>
    <row r="220" s="41" customFormat="1"/>
    <row r="221" s="41" customFormat="1"/>
    <row r="222" s="41" customFormat="1"/>
    <row r="223" s="41" customFormat="1"/>
    <row r="224" s="41" customFormat="1"/>
    <row r="225" s="41" customFormat="1"/>
    <row r="226" s="41" customFormat="1"/>
    <row r="227" s="41" customFormat="1"/>
    <row r="228" s="41" customFormat="1"/>
    <row r="229" s="41" customFormat="1"/>
    <row r="230" s="41" customFormat="1"/>
    <row r="231" s="41" customFormat="1"/>
  </sheetData>
  <mergeCells count="3">
    <mergeCell ref="A5:B5"/>
    <mergeCell ref="A6:B6"/>
    <mergeCell ref="A9:A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81"/>
  <sheetViews>
    <sheetView topLeftCell="A8" workbookViewId="0">
      <selection activeCell="A18" sqref="A18:XFD27"/>
    </sheetView>
  </sheetViews>
  <sheetFormatPr defaultRowHeight="14.4"/>
  <cols>
    <col min="1" max="1" width="38.88671875" customWidth="1"/>
    <col min="2" max="2" width="19.5546875" customWidth="1"/>
    <col min="3" max="3" width="16.44140625" style="94" customWidth="1"/>
    <col min="4" max="4" width="23" style="95" customWidth="1"/>
    <col min="5" max="5" width="58.109375" customWidth="1"/>
    <col min="6" max="6" width="60.109375" style="9" customWidth="1"/>
    <col min="7" max="7" width="40" customWidth="1"/>
    <col min="9" max="9" width="19" customWidth="1"/>
  </cols>
  <sheetData>
    <row r="1" spans="1:15">
      <c r="A1" s="55"/>
      <c r="B1" s="55"/>
      <c r="C1" s="56"/>
      <c r="D1" s="57"/>
      <c r="E1" s="55"/>
      <c r="F1" s="58"/>
      <c r="G1" s="55"/>
      <c r="H1" s="55"/>
      <c r="I1" s="55"/>
      <c r="J1" s="55"/>
      <c r="K1" s="55"/>
      <c r="L1" s="55"/>
      <c r="M1" s="55"/>
      <c r="N1" s="55"/>
      <c r="O1" s="55"/>
    </row>
    <row r="2" spans="1:15" ht="22.8">
      <c r="A2" s="189" t="str">
        <f>'Title Sheet'!$A$2</f>
        <v>Benefit-Cost Analysis Spreadsheet for the Illinois International Port - Calumet Bridges Rehabilitation Project</v>
      </c>
      <c r="B2" s="55"/>
      <c r="C2" s="56"/>
      <c r="D2" s="57"/>
      <c r="E2" s="55"/>
      <c r="F2" s="58"/>
      <c r="G2" s="55"/>
      <c r="H2" s="55"/>
      <c r="I2" s="55"/>
      <c r="J2" s="55"/>
      <c r="K2" s="55"/>
      <c r="L2" s="55"/>
      <c r="M2" s="55"/>
      <c r="N2" s="55"/>
      <c r="O2" s="55"/>
    </row>
    <row r="3" spans="1:15">
      <c r="A3" s="59"/>
      <c r="B3" s="59"/>
      <c r="C3" s="60"/>
      <c r="D3" s="61"/>
      <c r="E3" s="59"/>
      <c r="F3" s="62"/>
      <c r="G3" s="55"/>
      <c r="H3" s="55"/>
      <c r="I3" s="55"/>
      <c r="J3" s="55"/>
      <c r="K3" s="55"/>
      <c r="L3" s="55"/>
      <c r="M3" s="55"/>
      <c r="N3" s="55"/>
      <c r="O3" s="55"/>
    </row>
    <row r="4" spans="1:15" s="66" customFormat="1">
      <c r="A4" s="63" t="s">
        <v>70</v>
      </c>
      <c r="B4" s="63" t="s">
        <v>71</v>
      </c>
      <c r="C4" s="64" t="s">
        <v>72</v>
      </c>
      <c r="D4" s="64" t="s">
        <v>73</v>
      </c>
      <c r="E4" s="65" t="s">
        <v>74</v>
      </c>
      <c r="F4" s="65" t="s">
        <v>75</v>
      </c>
    </row>
    <row r="5" spans="1:15" s="66" customFormat="1" ht="56.25" customHeight="1">
      <c r="A5" s="67" t="s">
        <v>76</v>
      </c>
      <c r="B5" s="67" t="s">
        <v>77</v>
      </c>
      <c r="C5" s="181">
        <v>32</v>
      </c>
      <c r="D5" s="69" t="s">
        <v>187</v>
      </c>
      <c r="E5" s="70" t="s">
        <v>211</v>
      </c>
      <c r="F5" s="191" t="s">
        <v>186</v>
      </c>
    </row>
    <row r="6" spans="1:15" s="66" customFormat="1" ht="61.5" customHeight="1">
      <c r="A6" s="67" t="s">
        <v>78</v>
      </c>
      <c r="B6" s="67" t="s">
        <v>79</v>
      </c>
      <c r="C6" s="181">
        <v>17.8</v>
      </c>
      <c r="D6" s="180" t="s">
        <v>188</v>
      </c>
      <c r="E6" s="188" t="s">
        <v>211</v>
      </c>
      <c r="F6" s="191" t="s">
        <v>186</v>
      </c>
      <c r="G6" s="187"/>
      <c r="H6" s="187"/>
      <c r="I6" s="187"/>
      <c r="J6" s="187"/>
    </row>
    <row r="7" spans="1:15" s="66" customFormat="1">
      <c r="A7" s="63" t="s">
        <v>80</v>
      </c>
      <c r="B7" s="63" t="s">
        <v>71</v>
      </c>
      <c r="C7" s="64" t="s">
        <v>72</v>
      </c>
      <c r="D7" s="64" t="s">
        <v>73</v>
      </c>
      <c r="E7" s="65" t="s">
        <v>74</v>
      </c>
      <c r="F7" s="65" t="s">
        <v>75</v>
      </c>
      <c r="G7" s="187"/>
      <c r="H7" s="187"/>
      <c r="I7" s="187"/>
      <c r="J7" s="187"/>
    </row>
    <row r="8" spans="1:15" s="66" customFormat="1" ht="22.5" customHeight="1">
      <c r="A8" s="72"/>
      <c r="B8" s="72"/>
      <c r="C8" s="73"/>
      <c r="D8" s="74"/>
      <c r="E8" s="75"/>
      <c r="F8" s="76"/>
      <c r="G8" s="187"/>
      <c r="H8" s="187"/>
      <c r="I8" s="187"/>
      <c r="J8" s="187"/>
    </row>
    <row r="9" spans="1:15" s="66" customFormat="1" ht="48" customHeight="1">
      <c r="A9" s="72" t="s">
        <v>81</v>
      </c>
      <c r="B9" s="72" t="s">
        <v>79</v>
      </c>
      <c r="C9" s="73">
        <v>0.45</v>
      </c>
      <c r="D9" s="74" t="s">
        <v>189</v>
      </c>
      <c r="E9" s="75" t="s">
        <v>211</v>
      </c>
      <c r="F9" s="83" t="s">
        <v>186</v>
      </c>
      <c r="G9" s="187"/>
      <c r="H9" s="187"/>
      <c r="I9" s="187"/>
      <c r="J9" s="187"/>
    </row>
    <row r="10" spans="1:15" s="66" customFormat="1" ht="55.5" customHeight="1">
      <c r="A10" s="72" t="s">
        <v>81</v>
      </c>
      <c r="B10" s="72" t="s">
        <v>77</v>
      </c>
      <c r="C10" s="73">
        <v>0.94</v>
      </c>
      <c r="D10" s="74" t="s">
        <v>189</v>
      </c>
      <c r="E10" s="75" t="s">
        <v>211</v>
      </c>
      <c r="F10" s="83" t="s">
        <v>186</v>
      </c>
      <c r="G10" s="187"/>
      <c r="H10" s="187"/>
      <c r="I10" s="187"/>
      <c r="J10" s="187"/>
      <c r="M10" s="71"/>
    </row>
    <row r="11" spans="1:15" s="66" customFormat="1">
      <c r="A11" s="63" t="s">
        <v>82</v>
      </c>
      <c r="B11" s="63" t="s">
        <v>71</v>
      </c>
      <c r="C11" s="64" t="s">
        <v>72</v>
      </c>
      <c r="D11" s="64" t="s">
        <v>73</v>
      </c>
      <c r="E11" s="65" t="s">
        <v>74</v>
      </c>
      <c r="F11" s="65" t="s">
        <v>83</v>
      </c>
      <c r="G11" s="187"/>
      <c r="H11" s="187"/>
      <c r="I11" s="187"/>
      <c r="J11" s="187"/>
    </row>
    <row r="12" spans="1:15" s="66" customFormat="1" ht="31.5" customHeight="1">
      <c r="A12" s="67" t="s">
        <v>84</v>
      </c>
      <c r="B12" s="67" t="s">
        <v>85</v>
      </c>
      <c r="C12" s="77">
        <v>1.1399999999999999</v>
      </c>
      <c r="D12" s="78" t="s">
        <v>109</v>
      </c>
      <c r="E12" s="188" t="s">
        <v>171</v>
      </c>
      <c r="F12" s="191" t="s">
        <v>170</v>
      </c>
      <c r="G12" s="187"/>
      <c r="H12" s="187"/>
      <c r="I12" s="187"/>
      <c r="J12" s="187"/>
    </row>
    <row r="13" spans="1:15" s="66" customFormat="1" ht="35.25" customHeight="1">
      <c r="A13" s="67" t="s">
        <v>86</v>
      </c>
      <c r="B13" s="67" t="s">
        <v>87</v>
      </c>
      <c r="C13" s="77">
        <v>1.67</v>
      </c>
      <c r="D13" s="78" t="s">
        <v>109</v>
      </c>
      <c r="E13" s="188" t="s">
        <v>211</v>
      </c>
      <c r="F13" s="191" t="s">
        <v>186</v>
      </c>
    </row>
    <row r="14" spans="1:15" s="66" customFormat="1">
      <c r="A14" s="63" t="s">
        <v>88</v>
      </c>
      <c r="B14" s="79"/>
      <c r="C14" s="80"/>
      <c r="D14" s="64" t="s">
        <v>73</v>
      </c>
      <c r="E14" s="65" t="s">
        <v>74</v>
      </c>
      <c r="F14" s="65" t="s">
        <v>83</v>
      </c>
    </row>
    <row r="15" spans="1:15" s="66" customFormat="1" ht="43.2">
      <c r="A15" s="72" t="s">
        <v>89</v>
      </c>
      <c r="B15" s="72"/>
      <c r="C15" s="81">
        <v>7.0000000000000007E-2</v>
      </c>
      <c r="D15" s="82"/>
      <c r="E15" s="240" t="s">
        <v>211</v>
      </c>
      <c r="F15" s="240" t="s">
        <v>186</v>
      </c>
    </row>
    <row r="16" spans="1:15" s="66" customFormat="1">
      <c r="A16" s="63" t="s">
        <v>90</v>
      </c>
      <c r="B16" s="63" t="s">
        <v>71</v>
      </c>
      <c r="C16" s="64" t="s">
        <v>72</v>
      </c>
      <c r="D16" s="64" t="s">
        <v>73</v>
      </c>
      <c r="E16" s="65" t="s">
        <v>74</v>
      </c>
      <c r="F16" s="65" t="s">
        <v>75</v>
      </c>
    </row>
    <row r="17" spans="1:14" s="66" customFormat="1" ht="18" customHeight="1">
      <c r="A17" s="72" t="s">
        <v>91</v>
      </c>
      <c r="B17" s="72"/>
      <c r="C17" s="84"/>
      <c r="D17" s="85"/>
      <c r="E17" s="446" t="s">
        <v>108</v>
      </c>
      <c r="F17" s="83" t="s">
        <v>217</v>
      </c>
      <c r="G17" s="86"/>
      <c r="H17" s="86"/>
      <c r="I17" s="86"/>
      <c r="J17" s="86"/>
      <c r="K17" s="86"/>
      <c r="L17" s="86"/>
      <c r="M17" s="86"/>
      <c r="N17" s="86"/>
    </row>
    <row r="18" spans="1:14" s="66" customFormat="1" ht="18" hidden="1" customHeight="1">
      <c r="A18" s="72"/>
      <c r="B18" s="72"/>
      <c r="C18" s="84"/>
      <c r="D18" s="85"/>
      <c r="E18" s="446"/>
      <c r="F18" s="76"/>
      <c r="G18" s="86"/>
      <c r="H18" s="86"/>
      <c r="I18" s="86"/>
      <c r="J18" s="86"/>
      <c r="K18" s="86"/>
      <c r="L18" s="86"/>
      <c r="M18" s="86"/>
      <c r="N18" s="86"/>
    </row>
    <row r="19" spans="1:14" s="66" customFormat="1" ht="18" hidden="1" customHeight="1">
      <c r="A19" s="72"/>
      <c r="B19" s="72"/>
      <c r="C19" s="84"/>
      <c r="D19" s="85"/>
      <c r="E19" s="446"/>
      <c r="F19" s="76"/>
      <c r="G19" s="86"/>
      <c r="H19" s="86"/>
      <c r="I19" s="86"/>
      <c r="J19" s="86"/>
      <c r="K19" s="86"/>
      <c r="L19" s="86"/>
      <c r="M19" s="86"/>
      <c r="N19" s="86"/>
    </row>
    <row r="20" spans="1:14" s="66" customFormat="1" ht="18" hidden="1" customHeight="1">
      <c r="A20" s="72"/>
      <c r="B20" s="72"/>
      <c r="C20" s="84"/>
      <c r="D20" s="85"/>
      <c r="E20" s="446"/>
      <c r="F20" s="76"/>
      <c r="G20" s="86"/>
      <c r="H20" s="86"/>
      <c r="I20" s="86"/>
      <c r="J20" s="86"/>
      <c r="K20" s="86"/>
      <c r="L20" s="86"/>
      <c r="M20" s="86"/>
      <c r="N20" s="86"/>
    </row>
    <row r="21" spans="1:14" s="66" customFormat="1" ht="18" hidden="1" customHeight="1">
      <c r="A21" s="72"/>
      <c r="B21" s="72"/>
      <c r="C21" s="84"/>
      <c r="D21" s="85"/>
      <c r="E21" s="446"/>
      <c r="F21" s="76"/>
      <c r="G21" s="86"/>
      <c r="H21" s="86"/>
      <c r="I21" s="86"/>
      <c r="J21" s="86"/>
      <c r="K21" s="86"/>
      <c r="L21" s="86"/>
      <c r="M21" s="86"/>
      <c r="N21" s="86"/>
    </row>
    <row r="22" spans="1:14" s="66" customFormat="1" ht="18" hidden="1" customHeight="1">
      <c r="A22" s="72"/>
      <c r="B22" s="72"/>
      <c r="C22" s="84"/>
      <c r="D22" s="85"/>
      <c r="E22" s="446"/>
      <c r="F22" s="76"/>
      <c r="G22" s="86"/>
      <c r="H22" s="86"/>
      <c r="I22" s="86"/>
      <c r="J22" s="86"/>
      <c r="K22" s="86"/>
      <c r="L22" s="86"/>
      <c r="M22" s="86"/>
      <c r="N22" s="86"/>
    </row>
    <row r="23" spans="1:14" s="66" customFormat="1" ht="18" hidden="1" customHeight="1">
      <c r="A23" s="72"/>
      <c r="B23" s="72"/>
      <c r="C23" s="84"/>
      <c r="D23" s="85"/>
      <c r="E23" s="446"/>
      <c r="F23" s="76"/>
      <c r="G23" s="86"/>
      <c r="H23" s="86"/>
      <c r="I23" s="86"/>
      <c r="J23" s="86"/>
      <c r="K23" s="86"/>
      <c r="L23" s="86"/>
      <c r="M23" s="86"/>
      <c r="N23" s="86"/>
    </row>
    <row r="24" spans="1:14" s="66" customFormat="1" ht="27.75" hidden="1" customHeight="1">
      <c r="A24" s="72"/>
      <c r="B24" s="72"/>
      <c r="C24" s="84"/>
      <c r="D24" s="85"/>
      <c r="E24" s="446"/>
      <c r="F24" s="76"/>
      <c r="G24" s="86"/>
      <c r="H24" s="86"/>
      <c r="I24" s="86"/>
      <c r="J24" s="86"/>
      <c r="K24" s="86"/>
      <c r="L24" s="86"/>
      <c r="M24" s="86"/>
      <c r="N24" s="86"/>
    </row>
    <row r="25" spans="1:14" s="66" customFormat="1" ht="18" hidden="1" customHeight="1">
      <c r="A25" s="67"/>
      <c r="B25" s="67"/>
      <c r="C25" s="68"/>
      <c r="D25" s="90"/>
      <c r="E25" s="67"/>
      <c r="F25" s="89"/>
    </row>
    <row r="26" spans="1:14" s="66" customFormat="1" ht="18" hidden="1" customHeight="1">
      <c r="A26" s="67"/>
      <c r="B26" s="67"/>
      <c r="C26" s="68"/>
      <c r="D26" s="90"/>
      <c r="E26" s="67"/>
      <c r="F26" s="89"/>
    </row>
    <row r="27" spans="1:14" s="66" customFormat="1" ht="18" hidden="1" customHeight="1">
      <c r="A27" s="67"/>
      <c r="B27" s="67"/>
      <c r="C27" s="68"/>
      <c r="D27" s="90"/>
      <c r="E27" s="67"/>
      <c r="F27" s="70"/>
    </row>
    <row r="28" spans="1:14" s="66" customFormat="1" ht="25.5" customHeight="1">
      <c r="A28" s="63" t="s">
        <v>174</v>
      </c>
      <c r="B28" s="63" t="s">
        <v>71</v>
      </c>
      <c r="C28" s="64" t="s">
        <v>72</v>
      </c>
      <c r="D28" s="64" t="s">
        <v>73</v>
      </c>
      <c r="E28" s="65" t="s">
        <v>74</v>
      </c>
      <c r="F28" s="65" t="s">
        <v>75</v>
      </c>
    </row>
    <row r="29" spans="1:14" s="66" customFormat="1" ht="30" customHeight="1">
      <c r="A29" s="72" t="s">
        <v>46</v>
      </c>
      <c r="B29" s="75" t="s">
        <v>93</v>
      </c>
      <c r="C29" s="91">
        <v>302600</v>
      </c>
      <c r="D29" s="92" t="s">
        <v>94</v>
      </c>
      <c r="E29" s="75" t="s">
        <v>211</v>
      </c>
      <c r="F29" s="240" t="s">
        <v>186</v>
      </c>
      <c r="I29" s="93"/>
    </row>
    <row r="30" spans="1:14" s="66" customFormat="1" ht="30" customHeight="1">
      <c r="A30" s="72" t="s">
        <v>45</v>
      </c>
      <c r="B30" s="75" t="s">
        <v>93</v>
      </c>
      <c r="C30" s="91">
        <v>12837400</v>
      </c>
      <c r="D30" s="92" t="s">
        <v>94</v>
      </c>
      <c r="E30" s="75" t="s">
        <v>211</v>
      </c>
      <c r="F30" s="240" t="s">
        <v>186</v>
      </c>
    </row>
    <row r="31" spans="1:14" s="66" customFormat="1" ht="69" customHeight="1">
      <c r="A31" s="75" t="s">
        <v>95</v>
      </c>
      <c r="B31" s="75" t="s">
        <v>93</v>
      </c>
      <c r="C31" s="91">
        <v>8041</v>
      </c>
      <c r="D31" s="135" t="s">
        <v>197</v>
      </c>
      <c r="E31" s="75" t="s">
        <v>211</v>
      </c>
      <c r="F31" s="290" t="s">
        <v>186</v>
      </c>
      <c r="G31" s="83" t="s">
        <v>50</v>
      </c>
      <c r="I31" s="93"/>
    </row>
    <row r="32" spans="1:14" s="66" customFormat="1" ht="43.2">
      <c r="A32" s="75" t="s">
        <v>172</v>
      </c>
      <c r="B32" s="75"/>
      <c r="C32" s="91">
        <v>11600000</v>
      </c>
      <c r="D32" s="135" t="s">
        <v>173</v>
      </c>
      <c r="E32" s="75" t="s">
        <v>211</v>
      </c>
      <c r="F32" s="240" t="s">
        <v>186</v>
      </c>
    </row>
    <row r="33" spans="1:11" s="66" customFormat="1" ht="86.4">
      <c r="A33" s="75" t="s">
        <v>201</v>
      </c>
      <c r="B33" s="75"/>
      <c r="C33" s="91">
        <v>1218000</v>
      </c>
      <c r="D33" s="135" t="s">
        <v>200</v>
      </c>
      <c r="E33" s="75" t="s">
        <v>212</v>
      </c>
      <c r="F33" s="290" t="s">
        <v>213</v>
      </c>
      <c r="G33" s="212"/>
      <c r="I33" s="93"/>
    </row>
    <row r="34" spans="1:11" s="187" customFormat="1" ht="27.75" hidden="1" customHeight="1">
      <c r="A34" s="63" t="s">
        <v>181</v>
      </c>
      <c r="B34" s="63" t="s">
        <v>71</v>
      </c>
      <c r="C34" s="64" t="s">
        <v>72</v>
      </c>
      <c r="D34" s="64" t="s">
        <v>73</v>
      </c>
      <c r="E34" s="65" t="s">
        <v>74</v>
      </c>
      <c r="F34" s="65" t="s">
        <v>75</v>
      </c>
    </row>
    <row r="35" spans="1:11" s="187" customFormat="1" ht="30" hidden="1" customHeight="1">
      <c r="A35" s="36" t="s">
        <v>183</v>
      </c>
      <c r="B35" s="213" t="s">
        <v>182</v>
      </c>
      <c r="C35" s="208">
        <v>6.31</v>
      </c>
      <c r="D35" s="208" t="s">
        <v>198</v>
      </c>
      <c r="E35" s="213" t="s">
        <v>211</v>
      </c>
      <c r="F35" s="241" t="s">
        <v>186</v>
      </c>
      <c r="G35" s="35"/>
      <c r="H35" s="35"/>
      <c r="I35" s="35"/>
      <c r="J35" s="35"/>
      <c r="K35" s="209"/>
    </row>
    <row r="36" spans="1:11">
      <c r="A36" s="55"/>
      <c r="B36" s="55"/>
      <c r="C36" s="56"/>
      <c r="D36" s="57"/>
      <c r="E36" s="55"/>
    </row>
    <row r="37" spans="1:11" s="66" customFormat="1" ht="27.75" customHeight="1">
      <c r="A37" s="63" t="s">
        <v>92</v>
      </c>
      <c r="B37" s="63" t="s">
        <v>71</v>
      </c>
      <c r="C37" s="64" t="s">
        <v>72</v>
      </c>
      <c r="D37" s="64" t="s">
        <v>73</v>
      </c>
      <c r="E37" s="65" t="s">
        <v>74</v>
      </c>
      <c r="F37" s="65" t="s">
        <v>75</v>
      </c>
      <c r="I37" s="187"/>
    </row>
    <row r="38" spans="1:11" s="66" customFormat="1" ht="30" customHeight="1">
      <c r="A38" s="67" t="s">
        <v>40</v>
      </c>
      <c r="B38" s="70" t="s">
        <v>93</v>
      </c>
      <c r="C38" s="87" t="s">
        <v>196</v>
      </c>
      <c r="D38" s="88" t="s">
        <v>110</v>
      </c>
      <c r="E38" s="188" t="s">
        <v>211</v>
      </c>
      <c r="F38" s="191" t="s">
        <v>186</v>
      </c>
    </row>
    <row r="39" spans="1:11">
      <c r="A39" s="25"/>
      <c r="B39" s="25"/>
      <c r="C39" s="26" t="s">
        <v>34</v>
      </c>
      <c r="D39" s="25"/>
      <c r="E39" s="25"/>
      <c r="F39" s="58"/>
    </row>
    <row r="40" spans="1:11" ht="15.6">
      <c r="A40" s="27" t="s">
        <v>1</v>
      </c>
      <c r="B40" s="28" t="s">
        <v>27</v>
      </c>
      <c r="C40" s="29" t="s">
        <v>28</v>
      </c>
      <c r="D40" s="29" t="s">
        <v>29</v>
      </c>
      <c r="E40" s="30" t="s">
        <v>30</v>
      </c>
    </row>
    <row r="41" spans="1:11" s="182" customFormat="1">
      <c r="A41" s="55">
        <v>2025</v>
      </c>
      <c r="B41" s="33">
        <v>56</v>
      </c>
      <c r="C41" s="33">
        <v>16500</v>
      </c>
      <c r="D41" s="33">
        <v>44900</v>
      </c>
      <c r="E41" s="33">
        <v>801700</v>
      </c>
      <c r="F41" s="9"/>
    </row>
    <row r="42" spans="1:11" s="182" customFormat="1">
      <c r="A42" s="55">
        <v>2026</v>
      </c>
      <c r="B42" s="33">
        <v>57</v>
      </c>
      <c r="C42" s="33">
        <v>16800</v>
      </c>
      <c r="D42" s="33">
        <v>45700</v>
      </c>
      <c r="E42" s="33">
        <v>814500</v>
      </c>
      <c r="F42" s="9"/>
    </row>
    <row r="43" spans="1:11" s="182" customFormat="1">
      <c r="A43" s="55">
        <v>2027</v>
      </c>
      <c r="B43" s="33">
        <v>58</v>
      </c>
      <c r="C43" s="33">
        <v>17100</v>
      </c>
      <c r="D43" s="33">
        <v>46500</v>
      </c>
      <c r="E43" s="33">
        <v>827400</v>
      </c>
      <c r="F43" s="9"/>
    </row>
    <row r="44" spans="1:11" s="182" customFormat="1">
      <c r="A44" s="55">
        <v>2028</v>
      </c>
      <c r="B44" s="33">
        <v>60</v>
      </c>
      <c r="C44" s="33">
        <v>17400</v>
      </c>
      <c r="D44" s="33">
        <v>47300</v>
      </c>
      <c r="E44" s="33">
        <v>840600</v>
      </c>
      <c r="F44" s="9"/>
    </row>
    <row r="45" spans="1:11">
      <c r="A45" s="55">
        <v>2029</v>
      </c>
      <c r="B45" s="33">
        <v>61</v>
      </c>
      <c r="C45" s="33">
        <v>17700</v>
      </c>
      <c r="D45" s="33">
        <v>48200</v>
      </c>
      <c r="E45" s="33">
        <v>854000</v>
      </c>
    </row>
    <row r="46" spans="1:11">
      <c r="A46" s="55">
        <v>2030</v>
      </c>
      <c r="B46" s="33">
        <v>62</v>
      </c>
      <c r="C46" s="33">
        <v>18100</v>
      </c>
      <c r="D46" s="33">
        <v>49100</v>
      </c>
      <c r="E46" s="33">
        <v>867600</v>
      </c>
    </row>
    <row r="47" spans="1:11">
      <c r="A47" s="55">
        <v>2031</v>
      </c>
      <c r="B47" s="33">
        <v>63</v>
      </c>
      <c r="C47" s="33">
        <v>18100</v>
      </c>
      <c r="D47" s="33">
        <v>49100</v>
      </c>
      <c r="E47" s="33">
        <v>867600</v>
      </c>
    </row>
    <row r="48" spans="1:11">
      <c r="A48" s="55">
        <v>2032</v>
      </c>
      <c r="B48" s="33">
        <v>64</v>
      </c>
      <c r="C48" s="33">
        <v>18100</v>
      </c>
      <c r="D48" s="33">
        <v>49100</v>
      </c>
      <c r="E48" s="33">
        <v>867600</v>
      </c>
    </row>
    <row r="49" spans="1:5">
      <c r="A49" s="55">
        <v>2033</v>
      </c>
      <c r="B49" s="33">
        <v>65</v>
      </c>
      <c r="C49" s="33">
        <v>18100</v>
      </c>
      <c r="D49" s="33">
        <v>49100</v>
      </c>
      <c r="E49" s="33">
        <v>867600</v>
      </c>
    </row>
    <row r="50" spans="1:5">
      <c r="A50" s="55">
        <v>2034</v>
      </c>
      <c r="B50" s="33">
        <v>66</v>
      </c>
      <c r="C50" s="33">
        <v>18100</v>
      </c>
      <c r="D50" s="33">
        <v>49100</v>
      </c>
      <c r="E50" s="33">
        <v>867600</v>
      </c>
    </row>
    <row r="51" spans="1:5">
      <c r="A51" s="55">
        <v>2035</v>
      </c>
      <c r="B51" s="33">
        <v>67</v>
      </c>
      <c r="C51" s="33">
        <v>18100</v>
      </c>
      <c r="D51" s="33">
        <v>49100</v>
      </c>
      <c r="E51" s="33">
        <v>867600</v>
      </c>
    </row>
    <row r="52" spans="1:5">
      <c r="A52" s="55">
        <v>2036</v>
      </c>
      <c r="B52" s="33">
        <v>69</v>
      </c>
      <c r="C52" s="33">
        <v>18100</v>
      </c>
      <c r="D52" s="33">
        <v>49100</v>
      </c>
      <c r="E52" s="33">
        <v>867600</v>
      </c>
    </row>
    <row r="53" spans="1:5">
      <c r="A53" s="55">
        <v>2037</v>
      </c>
      <c r="B53" s="33">
        <v>70</v>
      </c>
      <c r="C53" s="33">
        <v>18100</v>
      </c>
      <c r="D53" s="33">
        <v>49100</v>
      </c>
      <c r="E53" s="33">
        <v>867600</v>
      </c>
    </row>
    <row r="54" spans="1:5">
      <c r="A54" s="55">
        <v>2038</v>
      </c>
      <c r="B54" s="33">
        <v>72</v>
      </c>
      <c r="C54" s="33">
        <v>18100</v>
      </c>
      <c r="D54" s="33">
        <v>49100</v>
      </c>
      <c r="E54" s="33">
        <v>867600</v>
      </c>
    </row>
    <row r="55" spans="1:5">
      <c r="A55" s="55">
        <v>2039</v>
      </c>
      <c r="B55" s="33">
        <v>72</v>
      </c>
      <c r="C55" s="33">
        <v>18100</v>
      </c>
      <c r="D55" s="33">
        <v>49100</v>
      </c>
      <c r="E55" s="33">
        <v>867600</v>
      </c>
    </row>
    <row r="56" spans="1:5">
      <c r="A56" s="55">
        <v>2040</v>
      </c>
      <c r="B56" s="33">
        <v>73</v>
      </c>
      <c r="C56" s="33">
        <v>18100</v>
      </c>
      <c r="D56" s="33">
        <v>49100</v>
      </c>
      <c r="E56" s="33">
        <v>867600</v>
      </c>
    </row>
    <row r="57" spans="1:5">
      <c r="A57" s="55">
        <v>2041</v>
      </c>
      <c r="B57" s="33">
        <v>74</v>
      </c>
      <c r="C57" s="33">
        <v>18100</v>
      </c>
      <c r="D57" s="33">
        <v>49100</v>
      </c>
      <c r="E57" s="33">
        <v>867600</v>
      </c>
    </row>
    <row r="58" spans="1:5">
      <c r="A58" s="55">
        <v>2042</v>
      </c>
      <c r="B58" s="33">
        <v>75</v>
      </c>
      <c r="C58" s="33">
        <v>18100</v>
      </c>
      <c r="D58" s="33">
        <v>49100</v>
      </c>
      <c r="E58" s="33">
        <v>867600</v>
      </c>
    </row>
    <row r="59" spans="1:5">
      <c r="A59" s="55">
        <v>2043</v>
      </c>
      <c r="B59" s="33">
        <v>77</v>
      </c>
      <c r="C59" s="33">
        <v>18100</v>
      </c>
      <c r="D59" s="33">
        <v>49100</v>
      </c>
      <c r="E59" s="33">
        <v>867600</v>
      </c>
    </row>
    <row r="60" spans="1:5">
      <c r="A60" s="55">
        <v>2044</v>
      </c>
      <c r="B60" s="33">
        <v>78</v>
      </c>
      <c r="C60" s="33">
        <v>18100</v>
      </c>
      <c r="D60" s="33">
        <v>49100</v>
      </c>
      <c r="E60" s="33">
        <v>867600</v>
      </c>
    </row>
    <row r="61" spans="1:5">
      <c r="A61" s="55">
        <v>2045</v>
      </c>
      <c r="B61" s="33">
        <v>79</v>
      </c>
      <c r="C61" s="33">
        <v>18100</v>
      </c>
      <c r="D61" s="33">
        <v>49100</v>
      </c>
      <c r="E61" s="33">
        <v>867600</v>
      </c>
    </row>
    <row r="62" spans="1:5">
      <c r="A62" s="55">
        <v>2046</v>
      </c>
      <c r="B62" s="33">
        <v>80</v>
      </c>
      <c r="C62" s="33">
        <v>18100</v>
      </c>
      <c r="D62" s="33">
        <v>49100</v>
      </c>
      <c r="E62" s="33">
        <v>867600</v>
      </c>
    </row>
    <row r="63" spans="1:5">
      <c r="A63" s="55">
        <v>2047</v>
      </c>
      <c r="B63" s="33">
        <v>81</v>
      </c>
      <c r="C63" s="33">
        <v>18100</v>
      </c>
      <c r="D63" s="33">
        <v>49100</v>
      </c>
      <c r="E63" s="33">
        <v>867600</v>
      </c>
    </row>
    <row r="64" spans="1:5">
      <c r="A64" s="55">
        <v>2048</v>
      </c>
      <c r="B64" s="33">
        <v>82</v>
      </c>
      <c r="C64" s="33">
        <v>18100</v>
      </c>
      <c r="D64" s="33">
        <v>49100</v>
      </c>
      <c r="E64" s="33">
        <v>867600</v>
      </c>
    </row>
    <row r="65" spans="1:5">
      <c r="A65" s="55">
        <v>2049</v>
      </c>
      <c r="B65" s="33">
        <v>83</v>
      </c>
      <c r="C65" s="33">
        <v>18100</v>
      </c>
      <c r="D65" s="33">
        <v>49100</v>
      </c>
      <c r="E65" s="33">
        <v>867600</v>
      </c>
    </row>
    <row r="66" spans="1:5">
      <c r="A66" s="55">
        <v>2050</v>
      </c>
      <c r="B66" s="184">
        <v>85</v>
      </c>
      <c r="C66" s="33">
        <v>18100</v>
      </c>
      <c r="D66" s="33">
        <v>49100</v>
      </c>
      <c r="E66" s="33">
        <v>867600</v>
      </c>
    </row>
    <row r="67" spans="1:5">
      <c r="A67" s="182">
        <v>2051</v>
      </c>
      <c r="B67" s="184">
        <v>85</v>
      </c>
      <c r="C67" s="33">
        <v>18100</v>
      </c>
      <c r="D67" s="33">
        <v>49100</v>
      </c>
      <c r="E67" s="33">
        <v>867600</v>
      </c>
    </row>
    <row r="68" spans="1:5">
      <c r="A68" s="182">
        <v>2052</v>
      </c>
      <c r="B68" s="184">
        <v>85</v>
      </c>
      <c r="C68" s="33">
        <v>18100</v>
      </c>
      <c r="D68" s="33">
        <v>49100</v>
      </c>
      <c r="E68" s="33">
        <v>867600</v>
      </c>
    </row>
    <row r="69" spans="1:5">
      <c r="A69" s="182">
        <v>2053</v>
      </c>
      <c r="B69" s="184">
        <v>85</v>
      </c>
      <c r="C69" s="33">
        <v>18100</v>
      </c>
      <c r="D69" s="33">
        <v>49100</v>
      </c>
      <c r="E69" s="33">
        <v>867600</v>
      </c>
    </row>
    <row r="70" spans="1:5">
      <c r="A70" s="182">
        <v>2054</v>
      </c>
      <c r="B70" s="184">
        <v>85</v>
      </c>
      <c r="C70" s="33">
        <v>18100</v>
      </c>
      <c r="D70" s="33">
        <v>49100</v>
      </c>
      <c r="E70" s="33">
        <v>867600</v>
      </c>
    </row>
    <row r="71" spans="1:5">
      <c r="A71" s="182">
        <v>2055</v>
      </c>
      <c r="B71" s="184">
        <v>85</v>
      </c>
      <c r="C71" s="33">
        <v>18100</v>
      </c>
      <c r="D71" s="33">
        <v>49100</v>
      </c>
      <c r="E71" s="33">
        <v>867600</v>
      </c>
    </row>
    <row r="72" spans="1:5">
      <c r="A72" s="182">
        <v>2056</v>
      </c>
      <c r="B72" s="184">
        <v>85</v>
      </c>
      <c r="C72" s="33">
        <v>18100</v>
      </c>
      <c r="D72" s="33">
        <v>49100</v>
      </c>
      <c r="E72" s="33">
        <v>867600</v>
      </c>
    </row>
    <row r="73" spans="1:5">
      <c r="A73" s="182">
        <v>2057</v>
      </c>
      <c r="B73" s="184">
        <v>85</v>
      </c>
      <c r="C73" s="33">
        <v>18100</v>
      </c>
      <c r="D73" s="33">
        <v>49100</v>
      </c>
      <c r="E73" s="33">
        <v>867600</v>
      </c>
    </row>
    <row r="74" spans="1:5">
      <c r="A74" s="182">
        <v>2058</v>
      </c>
      <c r="B74" s="184">
        <v>85</v>
      </c>
      <c r="C74" s="33">
        <v>18100</v>
      </c>
      <c r="D74" s="33">
        <v>49100</v>
      </c>
      <c r="E74" s="33">
        <v>867600</v>
      </c>
    </row>
    <row r="75" spans="1:5">
      <c r="A75" s="25" t="s">
        <v>185</v>
      </c>
      <c r="B75" s="25"/>
      <c r="C75" s="25"/>
      <c r="D75" s="25"/>
      <c r="E75" s="25"/>
    </row>
    <row r="77" spans="1:5">
      <c r="A77" t="s">
        <v>226</v>
      </c>
      <c r="B77" s="301">
        <v>2019</v>
      </c>
    </row>
    <row r="78" spans="1:5">
      <c r="A78" t="s">
        <v>240</v>
      </c>
      <c r="B78" s="301">
        <v>2025</v>
      </c>
    </row>
    <row r="79" spans="1:5">
      <c r="A79" t="s">
        <v>227</v>
      </c>
      <c r="B79" s="301">
        <v>2054</v>
      </c>
    </row>
    <row r="81" spans="1:1">
      <c r="A81" t="s">
        <v>241</v>
      </c>
    </row>
  </sheetData>
  <mergeCells count="1">
    <mergeCell ref="E17:E24"/>
  </mergeCells>
  <hyperlinks>
    <hyperlink ref="G31" r:id="rId1"/>
    <hyperlink ref="F12" r:id="rId2"/>
    <hyperlink ref="F38" r:id="rId3"/>
    <hyperlink ref="F33" r:id="rId4" display="https://www.transportation.gov/sites/dot.gov/files/2022-03/Benefit%20Cost%20Analysis%20Guidance%202022%20%28Revised%29.pdf; "/>
    <hyperlink ref="F35" r:id="rId5" display="https://onlinepubs.trb.org/onlinepubs/nchrp/nchrp_rpt_552.pdf"/>
    <hyperlink ref="F31" r:id="rId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2:R47"/>
  <sheetViews>
    <sheetView zoomScale="110" zoomScaleNormal="110" workbookViewId="0">
      <selection activeCell="B7" sqref="B7"/>
    </sheetView>
  </sheetViews>
  <sheetFormatPr defaultColWidth="8.88671875" defaultRowHeight="14.4"/>
  <cols>
    <col min="1" max="1" width="41.44140625" customWidth="1"/>
    <col min="2" max="2" width="26.109375" customWidth="1"/>
    <col min="3" max="3" width="16.6640625" customWidth="1"/>
    <col min="4" max="4" width="28" style="96" bestFit="1" customWidth="1"/>
    <col min="5" max="5" width="20.5546875" style="97" customWidth="1"/>
    <col min="6" max="6" width="21.88671875" style="97" customWidth="1"/>
  </cols>
  <sheetData>
    <row r="2" spans="1:6" ht="22.8">
      <c r="A2" s="189" t="str">
        <f>'Title Sheet'!$A$2</f>
        <v>Benefit-Cost Analysis Spreadsheet for the Illinois International Port - Calumet Bridges Rehabilitation Project</v>
      </c>
    </row>
    <row r="4" spans="1:6" s="97" customFormat="1" ht="27.6">
      <c r="A4" s="98" t="s">
        <v>96</v>
      </c>
      <c r="B4" s="99" t="s">
        <v>193</v>
      </c>
      <c r="C4" s="100"/>
      <c r="D4" s="100"/>
    </row>
    <row r="5" spans="1:6" s="97" customFormat="1">
      <c r="A5" s="101" t="s">
        <v>97</v>
      </c>
      <c r="B5" s="151">
        <f>'BCA Summary Discounted'!K36</f>
        <v>239011098.05379608</v>
      </c>
      <c r="C5" s="293"/>
      <c r="D5" s="104"/>
    </row>
    <row r="6" spans="1:6" s="97" customFormat="1">
      <c r="A6" s="101" t="s">
        <v>98</v>
      </c>
      <c r="B6" s="151">
        <f>'BCA Summary Discounted'!H36</f>
        <v>93899868.851028159</v>
      </c>
      <c r="C6" s="293"/>
      <c r="D6" s="106"/>
    </row>
    <row r="7" spans="1:6" s="97" customFormat="1">
      <c r="A7" s="101" t="s">
        <v>99</v>
      </c>
      <c r="B7" s="151">
        <f>'BCA Summary Discounted'!O36</f>
        <v>150192091.63706544</v>
      </c>
      <c r="C7" s="293"/>
      <c r="D7" s="100"/>
    </row>
    <row r="8" spans="1:6" s="97" customFormat="1">
      <c r="A8" s="101" t="s">
        <v>100</v>
      </c>
      <c r="B8" s="151">
        <f>'BCA Summary Discounted'!L36</f>
        <v>696394.59672570764</v>
      </c>
      <c r="C8" s="293"/>
      <c r="D8" s="100"/>
    </row>
    <row r="9" spans="1:6">
      <c r="A9" s="101" t="s">
        <v>202</v>
      </c>
      <c r="B9" s="151">
        <f>'BCA Summary Discounted'!D36</f>
        <v>-3993625.1784996311</v>
      </c>
      <c r="C9" s="293"/>
      <c r="D9" s="100"/>
      <c r="E9"/>
      <c r="F9"/>
    </row>
    <row r="10" spans="1:6">
      <c r="A10" s="101" t="s">
        <v>101</v>
      </c>
      <c r="B10" s="151">
        <f>'BCA Summary Discounted'!E36</f>
        <v>14206452.900543096</v>
      </c>
      <c r="C10" s="293"/>
      <c r="D10" s="100"/>
      <c r="E10" s="100"/>
      <c r="F10" s="100"/>
    </row>
    <row r="11" spans="1:6">
      <c r="A11" s="107" t="s">
        <v>102</v>
      </c>
      <c r="B11" s="152">
        <f>SUM(B5:B10)</f>
        <v>494012280.86065882</v>
      </c>
      <c r="C11" s="293"/>
      <c r="D11" s="250"/>
      <c r="E11" s="100"/>
      <c r="F11" s="100"/>
    </row>
    <row r="12" spans="1:6">
      <c r="A12" s="101"/>
      <c r="B12" s="151"/>
      <c r="E12" s="100"/>
      <c r="F12" s="100"/>
    </row>
    <row r="13" spans="1:6" ht="21" customHeight="1">
      <c r="A13" s="108" t="s">
        <v>104</v>
      </c>
      <c r="B13" s="153">
        <f>'BCA Summary Discounted'!P36</f>
        <v>205653467.07337976</v>
      </c>
      <c r="C13" s="105"/>
      <c r="D13" s="100"/>
      <c r="E13" s="100"/>
      <c r="F13" s="100"/>
    </row>
    <row r="14" spans="1:6">
      <c r="A14" s="107" t="s">
        <v>105</v>
      </c>
      <c r="B14" s="292">
        <f>B11/B13</f>
        <v>2.4021587765616856</v>
      </c>
      <c r="C14" s="105"/>
      <c r="D14" s="100"/>
      <c r="E14" s="100"/>
      <c r="F14" s="100"/>
    </row>
    <row r="15" spans="1:6">
      <c r="A15" s="109" t="s">
        <v>106</v>
      </c>
      <c r="B15" s="110"/>
      <c r="C15" s="105"/>
      <c r="D15"/>
      <c r="E15"/>
      <c r="F15"/>
    </row>
    <row r="16" spans="1:6">
      <c r="A16" s="105" t="s">
        <v>180</v>
      </c>
      <c r="B16" s="200">
        <f>B11-B13</f>
        <v>288358813.78727907</v>
      </c>
      <c r="C16" s="105"/>
      <c r="D16"/>
      <c r="E16"/>
      <c r="F16"/>
    </row>
    <row r="17" spans="1:18" s="182" customFormat="1">
      <c r="A17" s="111"/>
      <c r="B17" s="110"/>
      <c r="C17" s="105"/>
    </row>
    <row r="18" spans="1:18">
      <c r="A18" s="98" t="s">
        <v>96</v>
      </c>
      <c r="B18" s="98" t="s">
        <v>131</v>
      </c>
      <c r="C18" s="105"/>
      <c r="D18"/>
      <c r="E18"/>
      <c r="F18"/>
    </row>
    <row r="19" spans="1:18" ht="18.75" customHeight="1">
      <c r="A19" s="101" t="s">
        <v>97</v>
      </c>
      <c r="B19" s="151">
        <f>'BCA Summary Nominal'!J36</f>
        <v>962033812.14976692</v>
      </c>
      <c r="C19" s="103"/>
      <c r="D19"/>
      <c r="E19"/>
      <c r="F19"/>
    </row>
    <row r="20" spans="1:18">
      <c r="A20" s="101" t="s">
        <v>98</v>
      </c>
      <c r="B20" s="151">
        <f>'BCA Summary Nominal'!G36</f>
        <v>357176739.8419292</v>
      </c>
      <c r="C20" s="103"/>
      <c r="D20"/>
      <c r="E20"/>
      <c r="F20"/>
    </row>
    <row r="21" spans="1:18">
      <c r="A21" s="101" t="s">
        <v>99</v>
      </c>
      <c r="B21" s="151">
        <f>'BCA Summary Nominal'!N36</f>
        <v>566587111.35292816</v>
      </c>
      <c r="C21" s="105"/>
      <c r="D21"/>
      <c r="E21"/>
      <c r="F21"/>
    </row>
    <row r="22" spans="1:18">
      <c r="A22" s="101" t="s">
        <v>100</v>
      </c>
      <c r="B22" s="151">
        <f>'BCA Summary Nominal'!K36</f>
        <v>1317604.1498894307</v>
      </c>
      <c r="C22" s="105"/>
      <c r="D22"/>
      <c r="E22"/>
      <c r="F22"/>
    </row>
    <row r="23" spans="1:18">
      <c r="A23" s="101" t="s">
        <v>202</v>
      </c>
      <c r="B23" s="151">
        <f>'BCA Summary Nominal'!C36</f>
        <v>-13500000</v>
      </c>
      <c r="C23" s="105"/>
      <c r="D23"/>
      <c r="E23"/>
      <c r="F23"/>
    </row>
    <row r="24" spans="1:18">
      <c r="A24" s="101" t="s">
        <v>101</v>
      </c>
      <c r="B24" s="151">
        <f>'BCA Summary Nominal'!D36</f>
        <v>132480000</v>
      </c>
      <c r="C24" s="112"/>
      <c r="D24" s="113"/>
      <c r="E24"/>
      <c r="F24"/>
      <c r="H24" s="114"/>
      <c r="I24" s="113"/>
      <c r="J24" s="113"/>
      <c r="M24" s="114"/>
      <c r="N24" s="113"/>
      <c r="O24" s="113"/>
    </row>
    <row r="25" spans="1:18">
      <c r="A25" s="107" t="s">
        <v>102</v>
      </c>
      <c r="B25" s="152">
        <f>SUM(B19:B24)</f>
        <v>2006095267.4945138</v>
      </c>
      <c r="C25" s="115"/>
      <c r="D25" s="116"/>
      <c r="E25"/>
      <c r="F25"/>
      <c r="H25" s="117"/>
      <c r="I25" s="116"/>
      <c r="J25" s="116"/>
      <c r="M25" s="117"/>
      <c r="N25" s="116"/>
      <c r="O25" s="116"/>
    </row>
    <row r="26" spans="1:18">
      <c r="A26" s="101"/>
      <c r="B26" s="102"/>
      <c r="E26"/>
      <c r="F26"/>
      <c r="H26" s="117"/>
      <c r="I26" s="116"/>
      <c r="J26" s="116"/>
      <c r="M26" s="117"/>
      <c r="N26" s="116"/>
      <c r="O26" s="116"/>
    </row>
    <row r="27" spans="1:18">
      <c r="A27" s="108" t="s">
        <v>104</v>
      </c>
      <c r="B27" s="153">
        <f>'BCA Summary Nominal'!O36</f>
        <v>288000000</v>
      </c>
      <c r="C27" s="115"/>
      <c r="G27" s="116"/>
      <c r="K27" s="117"/>
      <c r="L27" s="116"/>
      <c r="M27" s="116"/>
      <c r="P27" s="117"/>
      <c r="Q27" s="116"/>
      <c r="R27" s="116"/>
    </row>
    <row r="28" spans="1:18">
      <c r="A28" s="107" t="s">
        <v>105</v>
      </c>
      <c r="B28" s="292">
        <f>B25/B27</f>
        <v>6.9656085676892836</v>
      </c>
      <c r="C28" s="115"/>
      <c r="D28" s="118"/>
      <c r="E28" s="100"/>
      <c r="F28" s="100"/>
      <c r="G28" s="116"/>
      <c r="K28" s="117"/>
      <c r="L28" s="116"/>
      <c r="M28" s="116"/>
      <c r="P28" s="117"/>
      <c r="Q28" s="116"/>
      <c r="R28" s="116"/>
    </row>
    <row r="29" spans="1:18">
      <c r="A29" s="105" t="s">
        <v>180</v>
      </c>
      <c r="B29" s="200">
        <f>B25-B27</f>
        <v>1718095267.4945138</v>
      </c>
      <c r="C29" s="115"/>
      <c r="D29" s="118"/>
      <c r="E29" s="119"/>
      <c r="F29" s="100"/>
      <c r="G29" s="120"/>
      <c r="K29" s="117"/>
      <c r="L29" s="116"/>
      <c r="M29" s="116"/>
      <c r="P29" s="117"/>
      <c r="Q29" s="116"/>
      <c r="R29" s="116"/>
    </row>
    <row r="30" spans="1:18">
      <c r="C30" s="115"/>
      <c r="D30" s="118"/>
      <c r="E30" s="100"/>
      <c r="F30" s="100"/>
      <c r="G30" s="116"/>
      <c r="K30" s="117"/>
      <c r="L30" s="116"/>
      <c r="M30" s="116"/>
      <c r="P30" s="117"/>
      <c r="Q30" s="116"/>
      <c r="R30" s="116"/>
    </row>
    <row r="31" spans="1:18">
      <c r="B31" s="122"/>
      <c r="C31" s="115"/>
      <c r="D31" s="118"/>
      <c r="E31" s="100"/>
      <c r="F31" s="100"/>
      <c r="G31" s="116"/>
      <c r="K31" s="117"/>
      <c r="L31" s="116"/>
      <c r="M31" s="116"/>
      <c r="P31" s="117"/>
      <c r="Q31" s="116"/>
      <c r="R31" s="116"/>
    </row>
    <row r="32" spans="1:18">
      <c r="C32" s="123"/>
      <c r="D32" s="124"/>
      <c r="G32" s="121"/>
      <c r="K32" s="125"/>
      <c r="L32" s="121"/>
      <c r="M32" s="121"/>
      <c r="P32" s="125"/>
      <c r="Q32" s="121"/>
      <c r="R32" s="121"/>
    </row>
    <row r="33" spans="1:18">
      <c r="B33" s="128"/>
      <c r="C33" s="123"/>
      <c r="D33" s="124"/>
      <c r="G33" s="121"/>
      <c r="K33" s="125"/>
      <c r="L33" s="121"/>
      <c r="M33" s="121"/>
      <c r="P33" s="125"/>
      <c r="Q33" s="121"/>
      <c r="R33" s="121"/>
    </row>
    <row r="34" spans="1:18">
      <c r="B34" s="128"/>
      <c r="C34" s="126"/>
      <c r="D34" s="124"/>
      <c r="G34" s="127"/>
      <c r="K34" s="125"/>
      <c r="L34" s="127"/>
      <c r="M34" s="127"/>
      <c r="P34" s="125"/>
      <c r="Q34" s="127"/>
      <c r="R34" s="127"/>
    </row>
    <row r="35" spans="1:18">
      <c r="C35" s="129"/>
      <c r="D35" s="124"/>
    </row>
    <row r="36" spans="1:18">
      <c r="C36" s="129"/>
      <c r="D36" s="124"/>
    </row>
    <row r="37" spans="1:18">
      <c r="C37" s="129"/>
      <c r="D37" s="124"/>
    </row>
    <row r="38" spans="1:18">
      <c r="C38" s="129"/>
      <c r="D38" s="124"/>
    </row>
    <row r="39" spans="1:18">
      <c r="D39" s="124"/>
    </row>
    <row r="40" spans="1:18">
      <c r="D40" s="124"/>
    </row>
    <row r="41" spans="1:18">
      <c r="D41" s="124"/>
    </row>
    <row r="42" spans="1:18">
      <c r="D42" s="124"/>
    </row>
    <row r="43" spans="1:18">
      <c r="D43" s="124"/>
    </row>
    <row r="44" spans="1:18">
      <c r="A44" s="31"/>
      <c r="B44" s="31"/>
      <c r="D44" s="124"/>
    </row>
    <row r="45" spans="1:18">
      <c r="D45" s="124"/>
      <c r="F45" s="24"/>
    </row>
    <row r="46" spans="1:18" s="31" customFormat="1">
      <c r="A46"/>
      <c r="B46"/>
      <c r="D46" s="130"/>
      <c r="E46" s="24"/>
      <c r="F46" s="24"/>
    </row>
    <row r="47" spans="1:18" s="31" customFormat="1">
      <c r="A47"/>
      <c r="B47"/>
      <c r="C47" s="131"/>
      <c r="D47" s="132"/>
      <c r="E47" s="24"/>
      <c r="F47" s="9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R83"/>
  <sheetViews>
    <sheetView workbookViewId="0">
      <selection activeCell="N18" sqref="N18"/>
    </sheetView>
  </sheetViews>
  <sheetFormatPr defaultColWidth="9.109375" defaultRowHeight="14.4"/>
  <cols>
    <col min="1" max="1" width="9.109375" style="206"/>
    <col min="2" max="2" width="16.33203125" style="182" bestFit="1" customWidth="1"/>
    <col min="3" max="4" width="16.5546875" style="182" customWidth="1"/>
    <col min="5" max="7" width="14" style="182" customWidth="1"/>
    <col min="8" max="8" width="16" style="182" bestFit="1" customWidth="1"/>
    <col min="9" max="9" width="14.33203125" style="182" bestFit="1" customWidth="1"/>
    <col min="10" max="11" width="15.33203125" style="182" bestFit="1" customWidth="1"/>
    <col min="12" max="14" width="14" style="182" customWidth="1"/>
    <col min="15" max="15" width="15.44140625" style="182" customWidth="1"/>
    <col min="16" max="16" width="18" style="182" bestFit="1" customWidth="1"/>
    <col min="17" max="17" width="9.109375" style="182"/>
    <col min="18" max="18" width="13.44140625" style="182" customWidth="1"/>
    <col min="19" max="16384" width="9.109375" style="182"/>
  </cols>
  <sheetData>
    <row r="1" spans="1:18">
      <c r="A1" s="248"/>
    </row>
    <row r="2" spans="1:18" ht="22.8">
      <c r="A2" s="189" t="str">
        <f>'Title Sheet'!$A$2</f>
        <v>Benefit-Cost Analysis Spreadsheet for the Illinois International Port - Calumet Bridges Rehabilitation Project</v>
      </c>
    </row>
    <row r="4" spans="1:18" s="31" customFormat="1" ht="63" customHeight="1">
      <c r="A4" s="453" t="s">
        <v>1</v>
      </c>
      <c r="B4" s="454" t="s">
        <v>120</v>
      </c>
      <c r="C4" s="454"/>
      <c r="D4" s="454"/>
      <c r="E4" s="447" t="s">
        <v>98</v>
      </c>
      <c r="F4" s="448"/>
      <c r="G4" s="449"/>
      <c r="H4" s="450" t="s">
        <v>125</v>
      </c>
      <c r="I4" s="451"/>
      <c r="J4" s="452"/>
      <c r="K4" s="204" t="s">
        <v>128</v>
      </c>
      <c r="L4" s="447" t="s">
        <v>130</v>
      </c>
      <c r="M4" s="448"/>
      <c r="N4" s="449"/>
      <c r="O4" s="155" t="s">
        <v>132</v>
      </c>
      <c r="P4" s="154" t="s">
        <v>133</v>
      </c>
    </row>
    <row r="5" spans="1:18" ht="57.6">
      <c r="A5" s="453"/>
      <c r="B5" s="204" t="s">
        <v>103</v>
      </c>
      <c r="C5" s="146" t="s">
        <v>204</v>
      </c>
      <c r="D5" s="146" t="s">
        <v>179</v>
      </c>
      <c r="E5" s="210" t="s">
        <v>123</v>
      </c>
      <c r="F5" s="210" t="s">
        <v>124</v>
      </c>
      <c r="G5" s="210" t="s">
        <v>6</v>
      </c>
      <c r="H5" s="146" t="s">
        <v>126</v>
      </c>
      <c r="I5" s="146" t="s">
        <v>127</v>
      </c>
      <c r="J5" s="146" t="s">
        <v>6</v>
      </c>
      <c r="K5" s="146" t="s">
        <v>129</v>
      </c>
      <c r="L5" s="210" t="s">
        <v>31</v>
      </c>
      <c r="M5" s="210" t="s">
        <v>13</v>
      </c>
      <c r="N5" s="210" t="s">
        <v>6</v>
      </c>
      <c r="O5" s="214" t="s">
        <v>121</v>
      </c>
      <c r="P5" s="215" t="s">
        <v>122</v>
      </c>
    </row>
    <row r="6" spans="1:18">
      <c r="A6" s="224">
        <v>2024</v>
      </c>
      <c r="B6" s="216">
        <f>'Project Capital and O&amp;M Costs'!J9</f>
        <v>96000000</v>
      </c>
      <c r="C6" s="216">
        <v>0</v>
      </c>
      <c r="D6" s="216">
        <v>0</v>
      </c>
      <c r="E6" s="221">
        <v>0</v>
      </c>
      <c r="F6" s="221">
        <v>0</v>
      </c>
      <c r="G6" s="222">
        <v>0</v>
      </c>
      <c r="H6" s="219">
        <v>0</v>
      </c>
      <c r="I6" s="219">
        <v>0</v>
      </c>
      <c r="J6" s="219">
        <v>0</v>
      </c>
      <c r="K6" s="220">
        <v>0</v>
      </c>
      <c r="L6" s="221">
        <v>0</v>
      </c>
      <c r="M6" s="221">
        <v>0</v>
      </c>
      <c r="N6" s="222">
        <v>0</v>
      </c>
      <c r="O6" s="218">
        <f>B6</f>
        <v>96000000</v>
      </c>
      <c r="P6" s="317">
        <f>SUM(G6,J6,K6,N6)</f>
        <v>0</v>
      </c>
    </row>
    <row r="7" spans="1:18">
      <c r="A7" s="205">
        <v>2025</v>
      </c>
      <c r="B7" s="216">
        <f>'Project Capital and O&amp;M Costs'!J10</f>
        <v>96000000</v>
      </c>
      <c r="C7" s="216">
        <v>0</v>
      </c>
      <c r="D7" s="216">
        <v>0</v>
      </c>
      <c r="E7" s="221">
        <v>0</v>
      </c>
      <c r="F7" s="221">
        <v>0</v>
      </c>
      <c r="G7" s="222">
        <f t="shared" ref="G7:G10" si="0">E7+F7</f>
        <v>0</v>
      </c>
      <c r="H7" s="219">
        <v>0</v>
      </c>
      <c r="I7" s="219">
        <v>0</v>
      </c>
      <c r="J7" s="219">
        <f t="shared" ref="J7:J10" si="1">H7+I7</f>
        <v>0</v>
      </c>
      <c r="K7" s="220">
        <v>0</v>
      </c>
      <c r="L7" s="221">
        <v>0</v>
      </c>
      <c r="M7" s="221">
        <v>0</v>
      </c>
      <c r="N7" s="222">
        <v>0</v>
      </c>
      <c r="O7" s="218">
        <f>B7</f>
        <v>96000000</v>
      </c>
      <c r="P7" s="317">
        <f t="shared" ref="P7:P35" si="2">SUM(G7,J7,K7,N7)</f>
        <v>0</v>
      </c>
    </row>
    <row r="8" spans="1:18">
      <c r="A8" s="205">
        <f t="shared" ref="A8:A35" si="3">A7+1</f>
        <v>2026</v>
      </c>
      <c r="B8" s="216">
        <f>'Project Capital and O&amp;M Costs'!J11</f>
        <v>96000000</v>
      </c>
      <c r="C8" s="216">
        <v>0</v>
      </c>
      <c r="D8" s="216">
        <v>0</v>
      </c>
      <c r="E8" s="221">
        <v>0</v>
      </c>
      <c r="F8" s="221">
        <v>0</v>
      </c>
      <c r="G8" s="222">
        <f t="shared" si="0"/>
        <v>0</v>
      </c>
      <c r="H8" s="219">
        <v>0</v>
      </c>
      <c r="I8" s="219">
        <v>0</v>
      </c>
      <c r="J8" s="219">
        <f t="shared" si="1"/>
        <v>0</v>
      </c>
      <c r="K8" s="220">
        <v>0</v>
      </c>
      <c r="L8" s="221">
        <v>0</v>
      </c>
      <c r="M8" s="221">
        <v>0</v>
      </c>
      <c r="N8" s="222">
        <v>0</v>
      </c>
      <c r="O8" s="218">
        <f>B8</f>
        <v>96000000</v>
      </c>
      <c r="P8" s="317">
        <f t="shared" si="2"/>
        <v>0</v>
      </c>
    </row>
    <row r="9" spans="1:18">
      <c r="A9" s="205">
        <f t="shared" si="3"/>
        <v>2027</v>
      </c>
      <c r="B9" s="216">
        <f>'Project Capital and O&amp;M Costs'!J12</f>
        <v>0</v>
      </c>
      <c r="C9" s="216">
        <f>'Project Capital and O&amp;M Costs'!R12-'Project Capital and O&amp;M Costs'!L12</f>
        <v>-500000</v>
      </c>
      <c r="D9" s="216">
        <v>0</v>
      </c>
      <c r="E9" s="221">
        <f>-'VMT to VOC Savings'!B44</f>
        <v>11237558.220244408</v>
      </c>
      <c r="F9" s="221">
        <f>-'VMT to VOC Savings'!C44</f>
        <v>-2930120.4053580761</v>
      </c>
      <c r="G9" s="222">
        <f t="shared" si="0"/>
        <v>8307437.8148863316</v>
      </c>
      <c r="H9" s="219">
        <f>-'VHT to VOTT Savings'!B43</f>
        <v>19233952.30591011</v>
      </c>
      <c r="I9" s="219">
        <f>-'VHT to VOTT Savings'!C43</f>
        <v>-2377866.6885387897</v>
      </c>
      <c r="J9" s="219">
        <f t="shared" si="1"/>
        <v>16856085.617371321</v>
      </c>
      <c r="K9" s="220">
        <f>-'Emissions Costs'!P73</f>
        <v>24083.251504538435</v>
      </c>
      <c r="L9" s="221">
        <f t="shared" ref="L9:L35" si="4">N9-M9</f>
        <v>13219722.028564621</v>
      </c>
      <c r="M9" s="221">
        <f t="shared" ref="M9:M35" si="5">N9*0.035</f>
        <v>479471.78341944225</v>
      </c>
      <c r="N9" s="222">
        <f>'Crashes and Crash Cost Savings'!N48</f>
        <v>13699193.811984062</v>
      </c>
      <c r="O9" s="218">
        <f>B9</f>
        <v>0</v>
      </c>
      <c r="P9" s="318">
        <f t="shared" si="2"/>
        <v>38886800.495746255</v>
      </c>
    </row>
    <row r="10" spans="1:18">
      <c r="A10" s="205">
        <f t="shared" si="3"/>
        <v>2028</v>
      </c>
      <c r="B10" s="216">
        <f>'Project Capital and O&amp;M Costs'!J13</f>
        <v>0</v>
      </c>
      <c r="C10" s="216">
        <f>'Project Capital and O&amp;M Costs'!R13-'Project Capital and O&amp;M Costs'!L13</f>
        <v>-500000</v>
      </c>
      <c r="D10" s="216">
        <v>0</v>
      </c>
      <c r="E10" s="221">
        <f>-'VMT to VOC Savings'!B45</f>
        <v>11648811.458204269</v>
      </c>
      <c r="F10" s="221">
        <f>-'VMT to VOC Savings'!C45</f>
        <v>-2973718.8678646088</v>
      </c>
      <c r="G10" s="222">
        <f t="shared" si="0"/>
        <v>8675092.5903396606</v>
      </c>
      <c r="H10" s="219">
        <f>-'VHT to VOTT Savings'!B44</f>
        <v>20652726.579721451</v>
      </c>
      <c r="I10" s="219">
        <f>-'VHT to VOTT Savings'!C44</f>
        <v>-2451727.6462883949</v>
      </c>
      <c r="J10" s="219">
        <f t="shared" si="1"/>
        <v>18200998.933433056</v>
      </c>
      <c r="K10" s="220">
        <f>-'Emissions Costs'!P74</f>
        <v>26293.246690423926</v>
      </c>
      <c r="L10" s="221">
        <f t="shared" si="4"/>
        <v>13744462.253472796</v>
      </c>
      <c r="M10" s="221">
        <f t="shared" si="5"/>
        <v>498503.81230212218</v>
      </c>
      <c r="N10" s="222">
        <f>'Crashes and Crash Cost Savings'!N49</f>
        <v>14242966.065774918</v>
      </c>
      <c r="O10" s="218">
        <f>B10</f>
        <v>0</v>
      </c>
      <c r="P10" s="318">
        <f t="shared" si="2"/>
        <v>41145350.836238056</v>
      </c>
    </row>
    <row r="11" spans="1:18">
      <c r="A11" s="205">
        <f t="shared" si="3"/>
        <v>2029</v>
      </c>
      <c r="B11" s="216">
        <v>0</v>
      </c>
      <c r="C11" s="216">
        <f>'Project Capital and O&amp;M Costs'!R14-'Project Capital and O&amp;M Costs'!L14</f>
        <v>-500000</v>
      </c>
      <c r="D11" s="216">
        <v>0</v>
      </c>
      <c r="E11" s="221">
        <f>-'VMT to VOC Savings'!B46</f>
        <v>12062514.521044731</v>
      </c>
      <c r="F11" s="221">
        <f>-'VMT to VOC Savings'!C46</f>
        <v>-3017651.760653019</v>
      </c>
      <c r="G11" s="222">
        <f>E11+F11</f>
        <v>9044862.7603917122</v>
      </c>
      <c r="H11" s="219">
        <f>-'VHT to VOTT Savings'!B45</f>
        <v>22087147.725841522</v>
      </c>
      <c r="I11" s="219">
        <f>-'VHT to VOTT Savings'!C45</f>
        <v>-2526538.9250354767</v>
      </c>
      <c r="J11" s="219">
        <f>H11+I11</f>
        <v>19560608.800806046</v>
      </c>
      <c r="K11" s="220">
        <f>-'Emissions Costs'!P75</f>
        <v>28035.590689885139</v>
      </c>
      <c r="L11" s="221">
        <f t="shared" si="4"/>
        <v>14272280.263941521</v>
      </c>
      <c r="M11" s="221">
        <f t="shared" si="5"/>
        <v>517647.47071290499</v>
      </c>
      <c r="N11" s="222">
        <f>'Crashes and Crash Cost Savings'!N50</f>
        <v>14789927.734654427</v>
      </c>
      <c r="O11" s="218">
        <v>0</v>
      </c>
      <c r="P11" s="318">
        <f t="shared" si="2"/>
        <v>43423434.886542067</v>
      </c>
      <c r="R11" s="114"/>
    </row>
    <row r="12" spans="1:18">
      <c r="A12" s="205">
        <f t="shared" si="3"/>
        <v>2030</v>
      </c>
      <c r="B12" s="216">
        <v>0</v>
      </c>
      <c r="C12" s="216">
        <f>'Project Capital and O&amp;M Costs'!R15-'Project Capital and O&amp;M Costs'!L15</f>
        <v>-500000</v>
      </c>
      <c r="D12" s="216">
        <v>0</v>
      </c>
      <c r="E12" s="221">
        <f>-'VMT to VOC Savings'!B47</f>
        <v>12478678.671193123</v>
      </c>
      <c r="F12" s="221">
        <f>-'VMT to VOC Savings'!C47</f>
        <v>-3061921.2169880867</v>
      </c>
      <c r="G12" s="222">
        <f t="shared" ref="G12:G30" si="6">E12+F12</f>
        <v>9416757.4542050362</v>
      </c>
      <c r="H12" s="219">
        <f>-'VHT to VOTT Savings'!B46</f>
        <v>23537348.590055466</v>
      </c>
      <c r="I12" s="219">
        <f>-'VHT to VOTT Savings'!C46</f>
        <v>-2602310.453745842</v>
      </c>
      <c r="J12" s="219">
        <f t="shared" ref="J12:J30" si="7">H12+I12</f>
        <v>20935038.136309624</v>
      </c>
      <c r="K12" s="220">
        <f>-'Emissions Costs'!P76</f>
        <v>29768.113566249434</v>
      </c>
      <c r="L12" s="221">
        <f t="shared" si="4"/>
        <v>14803189.825898595</v>
      </c>
      <c r="M12" s="221">
        <f t="shared" si="5"/>
        <v>536903.25793414598</v>
      </c>
      <c r="N12" s="222">
        <f>'Crashes and Crash Cost Savings'!N51</f>
        <v>15340093.083832741</v>
      </c>
      <c r="O12" s="218">
        <v>0</v>
      </c>
      <c r="P12" s="318">
        <f t="shared" si="2"/>
        <v>45721656.78791365</v>
      </c>
      <c r="R12" s="114"/>
    </row>
    <row r="13" spans="1:18">
      <c r="A13" s="205">
        <f t="shared" si="3"/>
        <v>2031</v>
      </c>
      <c r="B13" s="216">
        <v>0</v>
      </c>
      <c r="C13" s="216">
        <f>'Project Capital and O&amp;M Costs'!R16-'Project Capital and O&amp;M Costs'!L16</f>
        <v>-500000</v>
      </c>
      <c r="D13" s="216">
        <v>0</v>
      </c>
      <c r="E13" s="221">
        <f>-'VMT to VOC Savings'!B48</f>
        <v>12897315.217448235</v>
      </c>
      <c r="F13" s="221">
        <f>-'VMT to VOC Savings'!C48</f>
        <v>-3106529.382589221</v>
      </c>
      <c r="G13" s="222">
        <f t="shared" si="6"/>
        <v>9790785.8348590136</v>
      </c>
      <c r="H13" s="219">
        <f>-'VHT to VOTT Savings'!B47</f>
        <v>25003463.027517319</v>
      </c>
      <c r="I13" s="219">
        <f>-'VHT to VOTT Savings'!C47</f>
        <v>-2679052.2556331158</v>
      </c>
      <c r="J13" s="219">
        <f t="shared" si="7"/>
        <v>22324410.771884203</v>
      </c>
      <c r="K13" s="220">
        <f>-'Emissions Costs'!P77</f>
        <v>31564.410962991533</v>
      </c>
      <c r="L13" s="221">
        <f t="shared" si="4"/>
        <v>15337204.759567417</v>
      </c>
      <c r="M13" s="221">
        <f t="shared" si="5"/>
        <v>556271.6752174712</v>
      </c>
      <c r="N13" s="222">
        <f>'Crashes and Crash Cost Savings'!N52</f>
        <v>15893476.434784889</v>
      </c>
      <c r="O13" s="218">
        <v>0</v>
      </c>
      <c r="P13" s="318">
        <f t="shared" si="2"/>
        <v>48040237.452491097</v>
      </c>
      <c r="R13" s="114"/>
    </row>
    <row r="14" spans="1:18">
      <c r="A14" s="205">
        <f t="shared" si="3"/>
        <v>2032</v>
      </c>
      <c r="B14" s="216">
        <v>0</v>
      </c>
      <c r="C14" s="216">
        <f>'Project Capital and O&amp;M Costs'!R17-'Project Capital and O&amp;M Costs'!L17</f>
        <v>-500000</v>
      </c>
      <c r="D14" s="216">
        <v>0</v>
      </c>
      <c r="E14" s="221">
        <f>-'VMT to VOC Savings'!B49</f>
        <v>13318435.515149117</v>
      </c>
      <c r="F14" s="221">
        <f>-'VMT to VOC Savings'!C49</f>
        <v>-3151478.4157016277</v>
      </c>
      <c r="G14" s="222">
        <f t="shared" si="6"/>
        <v>10166957.099447489</v>
      </c>
      <c r="H14" s="219">
        <f>-'VHT to VOTT Savings'!B48</f>
        <v>26485625.9099617</v>
      </c>
      <c r="I14" s="219">
        <f>-'VHT to VOTT Savings'!C48</f>
        <v>-2756774.4490087032</v>
      </c>
      <c r="J14" s="219">
        <f t="shared" si="7"/>
        <v>23728851.460952997</v>
      </c>
      <c r="K14" s="220">
        <f>-'Emissions Costs'!P78</f>
        <v>33358.266604688193</v>
      </c>
      <c r="L14" s="221">
        <f t="shared" si="4"/>
        <v>15874338.93968511</v>
      </c>
      <c r="M14" s="221">
        <f t="shared" si="5"/>
        <v>575753.22579168808</v>
      </c>
      <c r="N14" s="222">
        <f>'Crashes and Crash Cost Savings'!N53</f>
        <v>16450092.165476799</v>
      </c>
      <c r="O14" s="218">
        <v>0</v>
      </c>
      <c r="P14" s="318">
        <f t="shared" si="2"/>
        <v>50379258.992481977</v>
      </c>
      <c r="R14" s="114"/>
    </row>
    <row r="15" spans="1:18">
      <c r="A15" s="205">
        <f t="shared" si="3"/>
        <v>2033</v>
      </c>
      <c r="B15" s="216">
        <v>0</v>
      </c>
      <c r="C15" s="216">
        <f>'Project Capital and O&amp;M Costs'!R18-'Project Capital and O&amp;M Costs'!L18</f>
        <v>-500000</v>
      </c>
      <c r="D15" s="216">
        <v>0</v>
      </c>
      <c r="E15" s="221">
        <f>-'VMT to VOC Savings'!B50</f>
        <v>13742050.966364861</v>
      </c>
      <c r="F15" s="221">
        <f>-'VMT to VOC Savings'!C50</f>
        <v>-3196770.4871635437</v>
      </c>
      <c r="G15" s="222">
        <f t="shared" si="6"/>
        <v>10545280.479201317</v>
      </c>
      <c r="H15" s="219">
        <f>-'VHT to VOTT Savings'!B49</f>
        <v>27983973.132961273</v>
      </c>
      <c r="I15" s="219">
        <f>-'VHT to VOTT Savings'!C49</f>
        <v>-2835487.2481336594</v>
      </c>
      <c r="J15" s="219">
        <f t="shared" si="7"/>
        <v>25148485.884827614</v>
      </c>
      <c r="K15" s="220">
        <f>-'Emissions Costs'!P79</f>
        <v>35149.841299906751</v>
      </c>
      <c r="L15" s="221">
        <f t="shared" si="4"/>
        <v>16414606.29569117</v>
      </c>
      <c r="M15" s="221">
        <f t="shared" si="5"/>
        <v>595348.41486962803</v>
      </c>
      <c r="N15" s="222">
        <f>'Crashes and Crash Cost Savings'!N54</f>
        <v>17009954.710560799</v>
      </c>
      <c r="O15" s="218">
        <v>0</v>
      </c>
      <c r="P15" s="318">
        <f t="shared" si="2"/>
        <v>52738870.915889636</v>
      </c>
      <c r="R15" s="114"/>
    </row>
    <row r="16" spans="1:18">
      <c r="A16" s="205">
        <f t="shared" si="3"/>
        <v>2034</v>
      </c>
      <c r="B16" s="216">
        <v>0</v>
      </c>
      <c r="C16" s="216">
        <f>'Project Capital and O&amp;M Costs'!R19-'Project Capital and O&amp;M Costs'!L19</f>
        <v>-500000</v>
      </c>
      <c r="D16" s="216">
        <v>0</v>
      </c>
      <c r="E16" s="221">
        <f>-'VMT to VOC Savings'!B51</f>
        <v>14168173.020068169</v>
      </c>
      <c r="F16" s="221">
        <f>-'VMT to VOC Savings'!C51</f>
        <v>-3242407.780477643</v>
      </c>
      <c r="G16" s="222">
        <f t="shared" si="6"/>
        <v>10925765.239590526</v>
      </c>
      <c r="H16" s="219">
        <f>-'VHT to VOTT Savings'!B50</f>
        <v>29498641.62322998</v>
      </c>
      <c r="I16" s="219">
        <f>-'VHT to VOTT Savings'!C50</f>
        <v>-2915200.9640812874</v>
      </c>
      <c r="J16" s="219">
        <f t="shared" si="7"/>
        <v>26583440.659148693</v>
      </c>
      <c r="K16" s="220">
        <f>-'Emissions Costs'!P80</f>
        <v>36939.259025682957</v>
      </c>
      <c r="L16" s="221">
        <f t="shared" si="4"/>
        <v>16958020.811925337</v>
      </c>
      <c r="M16" s="221">
        <f t="shared" si="5"/>
        <v>615057.7496553231</v>
      </c>
      <c r="N16" s="222">
        <f>'Crashes and Crash Cost Savings'!N55</f>
        <v>17573078.561580658</v>
      </c>
      <c r="O16" s="218">
        <v>0</v>
      </c>
      <c r="P16" s="318">
        <f t="shared" si="2"/>
        <v>55119223.719345562</v>
      </c>
      <c r="R16" s="114"/>
    </row>
    <row r="17" spans="1:18">
      <c r="A17" s="205">
        <f t="shared" si="3"/>
        <v>2035</v>
      </c>
      <c r="B17" s="216">
        <v>0</v>
      </c>
      <c r="C17" s="216">
        <f>'Project Capital and O&amp;M Costs'!R20-'Project Capital and O&amp;M Costs'!L20</f>
        <v>-500000</v>
      </c>
      <c r="D17" s="216">
        <v>0</v>
      </c>
      <c r="E17" s="221">
        <f>-'VMT to VOC Savings'!B52</f>
        <v>14596813.17232132</v>
      </c>
      <c r="F17" s="221">
        <f>-'VMT to VOC Savings'!C52</f>
        <v>-3288392.4918800592</v>
      </c>
      <c r="G17" s="222">
        <f t="shared" si="6"/>
        <v>11308420.68044126</v>
      </c>
      <c r="H17" s="219">
        <f>-'VHT to VOTT Savings'!B51</f>
        <v>31029769.345989227</v>
      </c>
      <c r="I17" s="219">
        <f>-'VHT to VOTT Savings'!C51</f>
        <v>-2995926.0056035519</v>
      </c>
      <c r="J17" s="219">
        <f t="shared" si="7"/>
        <v>28033843.340385675</v>
      </c>
      <c r="K17" s="220">
        <f>-'Emissions Costs'!P81</f>
        <v>39769.075050664251</v>
      </c>
      <c r="L17" s="221">
        <f t="shared" si="4"/>
        <v>17504596.527826365</v>
      </c>
      <c r="M17" s="221">
        <f t="shared" si="5"/>
        <v>634881.73935121542</v>
      </c>
      <c r="N17" s="222">
        <f>'Crashes and Crash Cost Savings'!N56</f>
        <v>18139478.267177582</v>
      </c>
      <c r="O17" s="218">
        <v>0</v>
      </c>
      <c r="P17" s="318">
        <f t="shared" si="2"/>
        <v>57521511.363055184</v>
      </c>
      <c r="R17" s="114"/>
    </row>
    <row r="18" spans="1:18">
      <c r="A18" s="205">
        <f t="shared" si="3"/>
        <v>2036</v>
      </c>
      <c r="B18" s="216">
        <v>0</v>
      </c>
      <c r="C18" s="216">
        <f>'Project Capital and O&amp;M Costs'!R21-'Project Capital and O&amp;M Costs'!L21</f>
        <v>-500000</v>
      </c>
      <c r="D18" s="216">
        <v>0</v>
      </c>
      <c r="E18" s="221">
        <f>-'VMT to VOC Savings'!B53</f>
        <v>15027982.966456413</v>
      </c>
      <c r="F18" s="221">
        <f>-'VMT to VOC Savings'!C53</f>
        <v>-3334726.830411911</v>
      </c>
      <c r="G18" s="222">
        <f t="shared" si="6"/>
        <v>11693256.136044502</v>
      </c>
      <c r="H18" s="219">
        <f>-'VHT to VOTT Savings'!B52</f>
        <v>32577495.312381744</v>
      </c>
      <c r="I18" s="219">
        <f>-'VHT to VOTT Savings'!C52</f>
        <v>-3077672.8800098896</v>
      </c>
      <c r="J18" s="219">
        <f t="shared" si="7"/>
        <v>29499822.432371855</v>
      </c>
      <c r="K18" s="220">
        <f>-'Emissions Costs'!P82</f>
        <v>41901.666667334051</v>
      </c>
      <c r="L18" s="221">
        <f t="shared" si="4"/>
        <v>18054347.538132679</v>
      </c>
      <c r="M18" s="221">
        <f t="shared" si="5"/>
        <v>654820.89516543399</v>
      </c>
      <c r="N18" s="222">
        <f>'Crashes and Crash Cost Savings'!N57</f>
        <v>18709168.433298111</v>
      </c>
      <c r="O18" s="218">
        <v>0</v>
      </c>
      <c r="P18" s="318">
        <f t="shared" si="2"/>
        <v>59944148.668381803</v>
      </c>
      <c r="R18" s="114"/>
    </row>
    <row r="19" spans="1:18">
      <c r="A19" s="205">
        <f t="shared" si="3"/>
        <v>2037</v>
      </c>
      <c r="B19" s="216">
        <v>0</v>
      </c>
      <c r="C19" s="216">
        <f>'Project Capital and O&amp;M Costs'!R22-'Project Capital and O&amp;M Costs'!L22</f>
        <v>-500000</v>
      </c>
      <c r="D19" s="216">
        <v>0</v>
      </c>
      <c r="E19" s="221">
        <f>-'VMT to VOC Savings'!B54</f>
        <v>15461693.993257523</v>
      </c>
      <c r="F19" s="221">
        <f>-'VMT to VOC Savings'!C54</f>
        <v>-3381413.0179891586</v>
      </c>
      <c r="G19" s="222">
        <f t="shared" si="6"/>
        <v>12080280.975268364</v>
      </c>
      <c r="H19" s="219">
        <f>-'VHT to VOTT Savings'!B53</f>
        <v>34141959.586919785</v>
      </c>
      <c r="I19" s="219">
        <f>-'VHT to VOTT Savings'!C53</f>
        <v>-3160452.1940484047</v>
      </c>
      <c r="J19" s="219">
        <f t="shared" si="7"/>
        <v>30981507.39287138</v>
      </c>
      <c r="K19" s="220">
        <f>-'Emissions Costs'!P83</f>
        <v>44034.258284003852</v>
      </c>
      <c r="L19" s="221">
        <f t="shared" si="4"/>
        <v>18607287.993087552</v>
      </c>
      <c r="M19" s="221">
        <f t="shared" si="5"/>
        <v>674875.7303192378</v>
      </c>
      <c r="N19" s="222">
        <f>'Crashes and Crash Cost Savings'!N58</f>
        <v>19282163.723406792</v>
      </c>
      <c r="O19" s="218">
        <v>0</v>
      </c>
      <c r="P19" s="318">
        <f t="shared" si="2"/>
        <v>62387986.349830538</v>
      </c>
      <c r="R19" s="114"/>
    </row>
    <row r="20" spans="1:18">
      <c r="A20" s="205">
        <f t="shared" si="3"/>
        <v>2038</v>
      </c>
      <c r="B20" s="216">
        <v>0</v>
      </c>
      <c r="C20" s="216">
        <f>'Project Capital and O&amp;M Costs'!R23-'Project Capital and O&amp;M Costs'!L23</f>
        <v>-500000</v>
      </c>
      <c r="D20" s="216">
        <v>0</v>
      </c>
      <c r="E20" s="221">
        <f>-'VMT to VOC Savings'!B55</f>
        <v>15897957.89114666</v>
      </c>
      <c r="F20" s="221">
        <f>-'VMT to VOC Savings'!C55</f>
        <v>-3428453.2894746065</v>
      </c>
      <c r="G20" s="222">
        <f t="shared" si="6"/>
        <v>12469504.601672053</v>
      </c>
      <c r="H20" s="219">
        <f>-'VHT to VOTT Savings'!B54</f>
        <v>35723303.295001984</v>
      </c>
      <c r="I20" s="219">
        <f>-'VHT to VOTT Savings'!C54</f>
        <v>-3244274.6547999382</v>
      </c>
      <c r="J20" s="219">
        <f t="shared" si="7"/>
        <v>32479028.640202045</v>
      </c>
      <c r="K20" s="220">
        <f>-'Emissions Costs'!P84</f>
        <v>46105.314371743094</v>
      </c>
      <c r="L20" s="221">
        <f t="shared" si="4"/>
        <v>19163432.098627821</v>
      </c>
      <c r="M20" s="221">
        <f t="shared" si="5"/>
        <v>695046.76005385886</v>
      </c>
      <c r="N20" s="222">
        <f>'Crashes and Crash Cost Savings'!N59</f>
        <v>19858478.858681679</v>
      </c>
      <c r="O20" s="218">
        <v>0</v>
      </c>
      <c r="P20" s="318">
        <f t="shared" si="2"/>
        <v>64853117.41492752</v>
      </c>
      <c r="R20" s="114"/>
    </row>
    <row r="21" spans="1:18">
      <c r="A21" s="205">
        <f t="shared" si="3"/>
        <v>2039</v>
      </c>
      <c r="B21" s="216">
        <v>0</v>
      </c>
      <c r="C21" s="216">
        <f>'Project Capital and O&amp;M Costs'!R24-'Project Capital and O&amp;M Costs'!L24</f>
        <v>-500000</v>
      </c>
      <c r="D21" s="216">
        <v>0</v>
      </c>
      <c r="E21" s="221">
        <f>-'VMT to VOC Savings'!B56</f>
        <v>16336786.346365929</v>
      </c>
      <c r="F21" s="221">
        <f>-'VMT to VOC Savings'!C56</f>
        <v>-3475849.8927496672</v>
      </c>
      <c r="G21" s="222">
        <f t="shared" si="6"/>
        <v>12860936.453616261</v>
      </c>
      <c r="H21" s="219">
        <f>-'VHT to VOTT Savings'!B55</f>
        <v>37321668.630491257</v>
      </c>
      <c r="I21" s="219">
        <f>-'VHT to VOTT Savings'!C55</f>
        <v>-3329151.0705740452</v>
      </c>
      <c r="J21" s="219">
        <f t="shared" si="7"/>
        <v>33992517.559917212</v>
      </c>
      <c r="K21" s="220">
        <f>-'Emissions Costs'!P85</f>
        <v>47267.515592260344</v>
      </c>
      <c r="L21" s="221">
        <f t="shared" si="4"/>
        <v>19722794.116601024</v>
      </c>
      <c r="M21" s="221">
        <f t="shared" si="5"/>
        <v>715334.50163837918</v>
      </c>
      <c r="N21" s="222">
        <f>'Crashes and Crash Cost Savings'!N60</f>
        <v>20438128.618239403</v>
      </c>
      <c r="O21" s="218">
        <v>0</v>
      </c>
      <c r="P21" s="318">
        <f t="shared" si="2"/>
        <v>67338850.147365138</v>
      </c>
      <c r="R21" s="114"/>
    </row>
    <row r="22" spans="1:18">
      <c r="A22" s="205">
        <f t="shared" si="3"/>
        <v>2040</v>
      </c>
      <c r="B22" s="216">
        <v>0</v>
      </c>
      <c r="C22" s="216">
        <f>'Project Capital and O&amp;M Costs'!R25-'Project Capital and O&amp;M Costs'!L25</f>
        <v>-500000</v>
      </c>
      <c r="D22" s="216">
        <v>0</v>
      </c>
      <c r="E22" s="221">
        <f>-'VMT to VOC Savings'!B57</f>
        <v>16778191.093166351</v>
      </c>
      <c r="F22" s="221">
        <f>-'VMT to VOC Savings'!C57</f>
        <v>-3523605.0887854099</v>
      </c>
      <c r="G22" s="222">
        <f t="shared" si="6"/>
        <v>13254586.004380941</v>
      </c>
      <c r="H22" s="219">
        <f>-'VHT to VOTT Savings'!B56</f>
        <v>38937198.863306046</v>
      </c>
      <c r="I22" s="219">
        <f>-'VHT to VOTT Savings'!C56</f>
        <v>-3415092.3518180847</v>
      </c>
      <c r="J22" s="219">
        <f t="shared" si="7"/>
        <v>35522106.511487961</v>
      </c>
      <c r="K22" s="220">
        <f>-'Emissions Costs'!P86</f>
        <v>49087.332076165854</v>
      </c>
      <c r="L22" s="221">
        <f t="shared" si="4"/>
        <v>20285388.364951339</v>
      </c>
      <c r="M22" s="221">
        <f t="shared" si="5"/>
        <v>735739.47437647346</v>
      </c>
      <c r="N22" s="222">
        <f>'Crashes and Crash Cost Savings'!N61</f>
        <v>21021127.839327812</v>
      </c>
      <c r="O22" s="218">
        <v>0</v>
      </c>
      <c r="P22" s="318">
        <f t="shared" si="2"/>
        <v>69846907.687272877</v>
      </c>
      <c r="R22" s="114"/>
    </row>
    <row r="23" spans="1:18">
      <c r="A23" s="205">
        <f t="shared" si="3"/>
        <v>2041</v>
      </c>
      <c r="B23" s="216">
        <v>0</v>
      </c>
      <c r="C23" s="216">
        <f>'Project Capital and O&amp;M Costs'!R26-'Project Capital and O&amp;M Costs'!L26</f>
        <v>-500000</v>
      </c>
      <c r="D23" s="216">
        <v>0</v>
      </c>
      <c r="E23" s="221">
        <f>-'VMT to VOC Savings'!B58</f>
        <v>17222183.913983345</v>
      </c>
      <c r="F23" s="221">
        <f>-'VMT to VOC Savings'!C58</f>
        <v>-3571721.1517163515</v>
      </c>
      <c r="G23" s="222">
        <f t="shared" si="6"/>
        <v>13650462.762266994</v>
      </c>
      <c r="H23" s="219">
        <f>-'VHT to VOTT Savings'!B57</f>
        <v>40570038.347097397</v>
      </c>
      <c r="I23" s="219">
        <f>-'VHT to VOTT Savings'!C57</f>
        <v>-3502109.5120315552</v>
      </c>
      <c r="J23" s="219">
        <f t="shared" si="7"/>
        <v>37067928.835065842</v>
      </c>
      <c r="K23" s="220">
        <f>-'Emissions Costs'!P87</f>
        <v>50904.56654972519</v>
      </c>
      <c r="L23" s="221">
        <f t="shared" si="4"/>
        <v>20851229.217933074</v>
      </c>
      <c r="M23" s="221">
        <f t="shared" si="5"/>
        <v>756262.19961415301</v>
      </c>
      <c r="N23" s="222">
        <f>'Crashes and Crash Cost Savings'!N62</f>
        <v>21607491.417547226</v>
      </c>
      <c r="O23" s="218">
        <v>0</v>
      </c>
      <c r="P23" s="318">
        <f t="shared" si="2"/>
        <v>72376787.58142978</v>
      </c>
      <c r="R23" s="114"/>
    </row>
    <row r="24" spans="1:18">
      <c r="A24" s="205">
        <f t="shared" si="3"/>
        <v>2042</v>
      </c>
      <c r="B24" s="216">
        <v>0</v>
      </c>
      <c r="C24" s="216">
        <f>'Project Capital and O&amp;M Costs'!R27-'Project Capital and O&amp;M Costs'!L27</f>
        <v>-500000</v>
      </c>
      <c r="D24" s="216">
        <v>0</v>
      </c>
      <c r="E24" s="221">
        <f>-'VMT to VOC Savings'!B59</f>
        <v>17668776.639636993</v>
      </c>
      <c r="F24" s="221">
        <f>-'VMT to VOC Savings'!C59</f>
        <v>-3620200.3689121008</v>
      </c>
      <c r="G24" s="222">
        <f t="shared" si="6"/>
        <v>14048576.270724893</v>
      </c>
      <c r="H24" s="219">
        <f>-'VHT to VOTT Savings'!B58</f>
        <v>42220332.526979446</v>
      </c>
      <c r="I24" s="219">
        <f>-'VHT to VOTT Savings'!C58</f>
        <v>-3590213.6686878204</v>
      </c>
      <c r="J24" s="219">
        <f t="shared" si="7"/>
        <v>38630118.858291626</v>
      </c>
      <c r="K24" s="220">
        <f>-'Emissions Costs'!P88</f>
        <v>52719.148201930424</v>
      </c>
      <c r="L24" s="221">
        <f t="shared" si="4"/>
        <v>21420331.106314972</v>
      </c>
      <c r="M24" s="221">
        <f t="shared" si="5"/>
        <v>776903.20074717526</v>
      </c>
      <c r="N24" s="222">
        <f>'Crashes and Crash Cost Savings'!N63</f>
        <v>22197234.307062149</v>
      </c>
      <c r="O24" s="218">
        <v>0</v>
      </c>
      <c r="P24" s="318">
        <f t="shared" si="2"/>
        <v>74928648.584280595</v>
      </c>
      <c r="R24" s="114"/>
    </row>
    <row r="25" spans="1:18">
      <c r="A25" s="205">
        <f t="shared" si="3"/>
        <v>2043</v>
      </c>
      <c r="B25" s="216">
        <v>0</v>
      </c>
      <c r="C25" s="216">
        <f>'Project Capital and O&amp;M Costs'!R28-'Project Capital and O&amp;M Costs'!L28</f>
        <v>-500000</v>
      </c>
      <c r="D25" s="216">
        <v>0</v>
      </c>
      <c r="E25" s="221">
        <f>-'VMT to VOC Savings'!B60</f>
        <v>18117981.14950943</v>
      </c>
      <c r="F25" s="221">
        <f>-'VMT to VOC Savings'!C60</f>
        <v>-3669045.0410512686</v>
      </c>
      <c r="G25" s="222">
        <f t="shared" si="6"/>
        <v>14448936.108458161</v>
      </c>
      <c r="H25" s="219">
        <f>-'VHT to VOTT Savings'!B59</f>
        <v>43888227.947288513</v>
      </c>
      <c r="I25" s="219">
        <f>-'VHT to VOTT Savings'!C59</f>
        <v>-3679416.0441653728</v>
      </c>
      <c r="J25" s="219">
        <f t="shared" si="7"/>
        <v>40208811.90312314</v>
      </c>
      <c r="K25" s="220">
        <f>-'Emissions Costs'!P89</f>
        <v>55259.357009567699</v>
      </c>
      <c r="L25" s="221">
        <f t="shared" si="4"/>
        <v>21992708.517577171</v>
      </c>
      <c r="M25" s="221">
        <f t="shared" si="5"/>
        <v>797663.00322818768</v>
      </c>
      <c r="N25" s="222">
        <f>'Crashes and Crash Cost Savings'!N64</f>
        <v>22790371.520805359</v>
      </c>
      <c r="O25" s="218">
        <v>0</v>
      </c>
      <c r="P25" s="318">
        <f t="shared" si="2"/>
        <v>77503378.88939622</v>
      </c>
      <c r="R25" s="114"/>
    </row>
    <row r="26" spans="1:18">
      <c r="A26" s="205">
        <f t="shared" si="3"/>
        <v>2044</v>
      </c>
      <c r="B26" s="216">
        <v>0</v>
      </c>
      <c r="C26" s="216">
        <f>'Project Capital and O&amp;M Costs'!R29-'Project Capital and O&amp;M Costs'!L29</f>
        <v>-500000</v>
      </c>
      <c r="D26" s="216">
        <v>0</v>
      </c>
      <c r="E26" s="221">
        <f>-'VMT to VOC Savings'!B61</f>
        <v>18569809.371733665</v>
      </c>
      <c r="F26" s="221">
        <f>-'VMT to VOC Savings'!C61</f>
        <v>-3718257.4821946621</v>
      </c>
      <c r="G26" s="222">
        <f t="shared" si="6"/>
        <v>14851551.889539003</v>
      </c>
      <c r="H26" s="219">
        <f>-'VHT to VOTT Savings'!B60</f>
        <v>45573872.259410858</v>
      </c>
      <c r="I26" s="219">
        <f>-'VHT to VOTT Savings'!C60</f>
        <v>-3769727.9666862488</v>
      </c>
      <c r="J26" s="219">
        <f t="shared" si="7"/>
        <v>41804144.292724609</v>
      </c>
      <c r="K26" s="220">
        <f>-'Emissions Costs'!P90</f>
        <v>57081.115354006761</v>
      </c>
      <c r="L26" s="221">
        <f t="shared" si="4"/>
        <v>22568375.996121004</v>
      </c>
      <c r="M26" s="221">
        <f t="shared" si="5"/>
        <v>818542.13457433705</v>
      </c>
      <c r="N26" s="222">
        <f>'Crashes and Crash Cost Savings'!N65</f>
        <v>23386918.130695343</v>
      </c>
      <c r="O26" s="218">
        <v>0</v>
      </c>
      <c r="P26" s="318">
        <f t="shared" si="2"/>
        <v>80099695.428312957</v>
      </c>
      <c r="R26" s="114"/>
    </row>
    <row r="27" spans="1:18">
      <c r="A27" s="205">
        <f t="shared" si="3"/>
        <v>2045</v>
      </c>
      <c r="B27" s="216">
        <v>0</v>
      </c>
      <c r="C27" s="216">
        <f>'Project Capital and O&amp;M Costs'!R30-'Project Capital and O&amp;M Costs'!L30</f>
        <v>-500000</v>
      </c>
      <c r="D27" s="216">
        <v>0</v>
      </c>
      <c r="E27" s="221">
        <f>-'VMT to VOC Savings'!B62</f>
        <v>19024273.283385277</v>
      </c>
      <c r="F27" s="221">
        <f>-'VMT to VOC Savings'!C62</f>
        <v>-3767840.0198597908</v>
      </c>
      <c r="G27" s="222">
        <f t="shared" si="6"/>
        <v>15256433.263525486</v>
      </c>
      <c r="H27" s="219">
        <f>-'VHT to VOTT Savings'!B61</f>
        <v>47277414.229669571</v>
      </c>
      <c r="I27" s="219">
        <f>-'VHT to VOTT Savings'!C61</f>
        <v>-3861160.8712627888</v>
      </c>
      <c r="J27" s="219">
        <f t="shared" si="7"/>
        <v>43416253.358406782</v>
      </c>
      <c r="K27" s="220">
        <f>-'Emissions Costs'!P91</f>
        <v>58899.622869624232</v>
      </c>
      <c r="L27" s="221">
        <f t="shared" si="4"/>
        <v>23147348.143476095</v>
      </c>
      <c r="M27" s="221">
        <f t="shared" si="5"/>
        <v>839541.12437478069</v>
      </c>
      <c r="N27" s="222">
        <f>'Crashes and Crash Cost Savings'!N66</f>
        <v>23986889.267850876</v>
      </c>
      <c r="O27" s="218">
        <v>0</v>
      </c>
      <c r="P27" s="318">
        <f t="shared" si="2"/>
        <v>82718475.51265277</v>
      </c>
      <c r="R27" s="114"/>
    </row>
    <row r="28" spans="1:18">
      <c r="A28" s="205">
        <f t="shared" si="3"/>
        <v>2046</v>
      </c>
      <c r="B28" s="216">
        <v>0</v>
      </c>
      <c r="C28" s="216">
        <f>'Project Capital and O&amp;M Costs'!R31-'Project Capital and O&amp;M Costs'!L31</f>
        <v>-500000</v>
      </c>
      <c r="D28" s="216">
        <v>0</v>
      </c>
      <c r="E28" s="221">
        <f>-'VMT to VOC Savings'!B63</f>
        <v>19481384.910668373</v>
      </c>
      <c r="F28" s="221">
        <f>-'VMT to VOC Savings'!C63</f>
        <v>-3817794.9950948954</v>
      </c>
      <c r="G28" s="222">
        <f t="shared" si="6"/>
        <v>15663589.915573478</v>
      </c>
      <c r="H28" s="219">
        <f>-'VHT to VOTT Savings'!B62</f>
        <v>48999003.747255325</v>
      </c>
      <c r="I28" s="219">
        <f>-'VHT to VOTT Savings'!C62</f>
        <v>-3953726.3006522655</v>
      </c>
      <c r="J28" s="219">
        <f t="shared" si="7"/>
        <v>45045277.44660306</v>
      </c>
      <c r="K28" s="220">
        <f>-'Emissions Costs'!P92</f>
        <v>60714.749723885965</v>
      </c>
      <c r="L28" s="221">
        <f t="shared" si="4"/>
        <v>23729639.618498195</v>
      </c>
      <c r="M28" s="221">
        <f t="shared" si="5"/>
        <v>860660.50429786218</v>
      </c>
      <c r="N28" s="222">
        <f>'Crashes and Crash Cost Savings'!N67</f>
        <v>24590300.122796059</v>
      </c>
      <c r="O28" s="218">
        <v>0</v>
      </c>
      <c r="P28" s="318">
        <f t="shared" si="2"/>
        <v>85359882.234696478</v>
      </c>
      <c r="R28" s="114"/>
    </row>
    <row r="29" spans="1:18">
      <c r="A29" s="205">
        <f t="shared" si="3"/>
        <v>2047</v>
      </c>
      <c r="B29" s="216">
        <v>0</v>
      </c>
      <c r="C29" s="216">
        <f>'Project Capital and O&amp;M Costs'!R32-'Project Capital and O&amp;M Costs'!L32</f>
        <v>-500000</v>
      </c>
      <c r="D29" s="216">
        <v>0</v>
      </c>
      <c r="E29" s="221">
        <f>-'VMT to VOC Savings'!B64</f>
        <v>19941156.329106331</v>
      </c>
      <c r="F29" s="221">
        <f>-'VMT to VOC Savings'!C64</f>
        <v>-3868124.7625533342</v>
      </c>
      <c r="G29" s="222">
        <f t="shared" si="6"/>
        <v>16073031.566552997</v>
      </c>
      <c r="H29" s="219">
        <f>-'VHT to VOTT Savings'!B63</f>
        <v>50738791.832210541</v>
      </c>
      <c r="I29" s="219">
        <f>-'VHT to VOTT Savings'!C63</f>
        <v>-4047435.9063208103</v>
      </c>
      <c r="J29" s="219">
        <f t="shared" si="7"/>
        <v>46691355.92588973</v>
      </c>
      <c r="K29" s="220">
        <f>-'Emissions Costs'!P93</f>
        <v>62526.353839465562</v>
      </c>
      <c r="L29" s="221">
        <f t="shared" si="4"/>
        <v>24315265.1375864</v>
      </c>
      <c r="M29" s="221">
        <f t="shared" si="5"/>
        <v>881900.80809898861</v>
      </c>
      <c r="N29" s="222">
        <f>'Crashes and Crash Cost Savings'!N68</f>
        <v>25197165.945685387</v>
      </c>
      <c r="O29" s="218">
        <v>0</v>
      </c>
      <c r="P29" s="318">
        <f t="shared" si="2"/>
        <v>88024079.791967571</v>
      </c>
      <c r="R29" s="114"/>
    </row>
    <row r="30" spans="1:18">
      <c r="A30" s="205">
        <f t="shared" si="3"/>
        <v>2048</v>
      </c>
      <c r="B30" s="216">
        <v>0</v>
      </c>
      <c r="C30" s="216">
        <f>'Project Capital and O&amp;M Costs'!R33-'Project Capital and O&amp;M Costs'!L33</f>
        <v>-500000</v>
      </c>
      <c r="D30" s="216">
        <v>0</v>
      </c>
      <c r="E30" s="221">
        <f>-'VMT to VOC Savings'!B65</f>
        <v>20403599.66373539</v>
      </c>
      <c r="F30" s="221">
        <f>-'VMT to VOC Savings'!C65</f>
        <v>-3918831.6905691624</v>
      </c>
      <c r="G30" s="222">
        <f t="shared" si="6"/>
        <v>16484767.973166227</v>
      </c>
      <c r="H30" s="219">
        <f>-'VHT to VOTT Savings'!B64</f>
        <v>52496930.643476486</v>
      </c>
      <c r="I30" s="219">
        <f>-'VHT to VOTT Savings'!C64</f>
        <v>-4142301.4494140148</v>
      </c>
      <c r="J30" s="219">
        <f t="shared" si="7"/>
        <v>48354629.194062471</v>
      </c>
      <c r="K30" s="220">
        <f>-'Emissions Costs'!P94</f>
        <v>65761.216983179358</v>
      </c>
      <c r="L30" s="221">
        <f t="shared" si="4"/>
        <v>24904239.474885583</v>
      </c>
      <c r="M30" s="221">
        <f t="shared" si="5"/>
        <v>903262.57162797463</v>
      </c>
      <c r="N30" s="222">
        <f>'Crashes and Crash Cost Savings'!N69</f>
        <v>25807502.046513557</v>
      </c>
      <c r="O30" s="218">
        <v>0</v>
      </c>
      <c r="P30" s="318">
        <f t="shared" si="2"/>
        <v>90712660.430725425</v>
      </c>
      <c r="R30" s="114"/>
    </row>
    <row r="31" spans="1:18">
      <c r="A31" s="223">
        <f>A30+1</f>
        <v>2049</v>
      </c>
      <c r="B31" s="216">
        <v>0</v>
      </c>
      <c r="C31" s="216">
        <f>'Project Capital and O&amp;M Costs'!R34-'Project Capital and O&amp;M Costs'!L34</f>
        <v>-500000</v>
      </c>
      <c r="D31" s="216">
        <v>0</v>
      </c>
      <c r="E31" s="221">
        <f>-'VMT to VOC Savings'!B66</f>
        <v>20868727.089290619</v>
      </c>
      <c r="F31" s="221">
        <f>-'VMT to VOC Savings'!C66</f>
        <v>-3969918.1612336636</v>
      </c>
      <c r="G31" s="222">
        <f t="shared" ref="G31:G35" si="8">E31+F31</f>
        <v>16898808.928056955</v>
      </c>
      <c r="H31" s="219">
        <f>-'VHT to VOTT Savings'!B65</f>
        <v>54273573.486988068</v>
      </c>
      <c r="I31" s="219">
        <f>-'VHT to VOTT Savings'!C65</f>
        <v>-4238334.8017370701</v>
      </c>
      <c r="J31" s="219">
        <f t="shared" ref="J31:J35" si="9">H31+I31</f>
        <v>50035238.685250998</v>
      </c>
      <c r="K31" s="220">
        <f>-'Emissions Costs'!P95</f>
        <v>67591.369336240867</v>
      </c>
      <c r="L31" s="221">
        <f t="shared" si="4"/>
        <v>25496577.462494418</v>
      </c>
      <c r="M31" s="221">
        <f t="shared" si="5"/>
        <v>924746.33283658512</v>
      </c>
      <c r="N31" s="222">
        <f>'Crashes and Crash Cost Savings'!N70</f>
        <v>26421323.795331001</v>
      </c>
      <c r="O31" s="218">
        <v>0</v>
      </c>
      <c r="P31" s="318">
        <f t="shared" si="2"/>
        <v>93422962.777975202</v>
      </c>
      <c r="R31" s="114"/>
    </row>
    <row r="32" spans="1:18">
      <c r="A32" s="223">
        <f t="shared" si="3"/>
        <v>2050</v>
      </c>
      <c r="B32" s="216">
        <v>0</v>
      </c>
      <c r="C32" s="216">
        <f>'Project Capital and O&amp;M Costs'!R35-'Project Capital and O&amp;M Costs'!L35</f>
        <v>-500000</v>
      </c>
      <c r="D32" s="216">
        <v>0</v>
      </c>
      <c r="E32" s="221">
        <f>-'VMT to VOC Savings'!B67</f>
        <v>21336550.830399513</v>
      </c>
      <c r="F32" s="221">
        <f>-'VMT to VOC Savings'!C67</f>
        <v>-4021386.5704693794</v>
      </c>
      <c r="G32" s="222">
        <f t="shared" si="8"/>
        <v>17315164.259930134</v>
      </c>
      <c r="H32" s="219">
        <f>-'VHT to VOTT Savings'!B66</f>
        <v>56068874.82383728</v>
      </c>
      <c r="I32" s="219">
        <f>-'VHT to VOTT Savings'!C66</f>
        <v>-4335547.9467425346</v>
      </c>
      <c r="J32" s="219">
        <f t="shared" si="9"/>
        <v>51733326.877094746</v>
      </c>
      <c r="K32" s="220">
        <f>-'Emissions Costs'!P96</f>
        <v>67936.570105942883</v>
      </c>
      <c r="L32" s="221">
        <f t="shared" si="4"/>
        <v>26092293.990678854</v>
      </c>
      <c r="M32" s="221">
        <f t="shared" si="5"/>
        <v>946352.63178627973</v>
      </c>
      <c r="N32" s="222">
        <f>'Crashes and Crash Cost Savings'!N71</f>
        <v>27038646.622465134</v>
      </c>
      <c r="O32" s="218">
        <v>0</v>
      </c>
      <c r="P32" s="318">
        <f t="shared" si="2"/>
        <v>96155074.329595953</v>
      </c>
      <c r="R32" s="114"/>
    </row>
    <row r="33" spans="1:18">
      <c r="A33" s="223">
        <f t="shared" si="3"/>
        <v>2051</v>
      </c>
      <c r="B33" s="216">
        <v>0</v>
      </c>
      <c r="C33" s="216">
        <f>'Project Capital and O&amp;M Costs'!R36-'Project Capital and O&amp;M Costs'!L36</f>
        <v>-500000</v>
      </c>
      <c r="D33" s="216">
        <v>0</v>
      </c>
      <c r="E33" s="221">
        <f>-'VMT to VOC Savings'!B68</f>
        <v>21336550.830399513</v>
      </c>
      <c r="F33" s="221">
        <f>-'VMT to VOC Savings'!C68</f>
        <v>-4021386.5704693794</v>
      </c>
      <c r="G33" s="222">
        <f t="shared" si="8"/>
        <v>17315164.259930134</v>
      </c>
      <c r="H33" s="219">
        <f>-'VHT to VOTT Savings'!B67</f>
        <v>56068874.82383728</v>
      </c>
      <c r="I33" s="219">
        <f>-'VHT to VOTT Savings'!C67</f>
        <v>-4335547.9467425346</v>
      </c>
      <c r="J33" s="219">
        <f t="shared" si="9"/>
        <v>51733326.877094746</v>
      </c>
      <c r="K33" s="220">
        <f>-'Emissions Costs'!P97</f>
        <v>69064.174753355794</v>
      </c>
      <c r="L33" s="221">
        <f t="shared" si="4"/>
        <v>26092293.990678854</v>
      </c>
      <c r="M33" s="221">
        <f t="shared" si="5"/>
        <v>946352.63178627973</v>
      </c>
      <c r="N33" s="222">
        <f>'Crashes and Crash Cost Savings'!N72</f>
        <v>27038646.622465134</v>
      </c>
      <c r="O33" s="218">
        <v>0</v>
      </c>
      <c r="P33" s="318">
        <f t="shared" si="2"/>
        <v>96156201.934243366</v>
      </c>
      <c r="R33" s="114"/>
    </row>
    <row r="34" spans="1:18">
      <c r="A34" s="223">
        <f t="shared" si="3"/>
        <v>2052</v>
      </c>
      <c r="B34" s="216">
        <v>0</v>
      </c>
      <c r="C34" s="216">
        <f>'Project Capital and O&amp;M Costs'!R37-'Project Capital and O&amp;M Costs'!L37</f>
        <v>-500000</v>
      </c>
      <c r="D34" s="216">
        <v>0</v>
      </c>
      <c r="E34" s="221">
        <f>-'VMT to VOC Savings'!B69</f>
        <v>21336550.830399513</v>
      </c>
      <c r="F34" s="221">
        <f>-'VMT to VOC Savings'!C69</f>
        <v>-4021386.5704693794</v>
      </c>
      <c r="G34" s="222">
        <f t="shared" si="8"/>
        <v>17315164.259930134</v>
      </c>
      <c r="H34" s="219">
        <f>-'VHT to VOTT Savings'!B68</f>
        <v>56068874.82383728</v>
      </c>
      <c r="I34" s="219">
        <f>-'VHT to VOTT Savings'!C68</f>
        <v>-4335547.9467425346</v>
      </c>
      <c r="J34" s="219">
        <f t="shared" si="9"/>
        <v>51733326.877094746</v>
      </c>
      <c r="K34" s="220">
        <f>-'Emissions Costs'!P98</f>
        <v>68281.770875644899</v>
      </c>
      <c r="L34" s="221">
        <f t="shared" si="4"/>
        <v>26092293.990678854</v>
      </c>
      <c r="M34" s="221">
        <f t="shared" si="5"/>
        <v>946352.63178627973</v>
      </c>
      <c r="N34" s="222">
        <f>'Crashes and Crash Cost Savings'!N73</f>
        <v>27038646.622465134</v>
      </c>
      <c r="O34" s="218">
        <v>0</v>
      </c>
      <c r="P34" s="318">
        <f t="shared" si="2"/>
        <v>96155419.530365661</v>
      </c>
      <c r="R34" s="114"/>
    </row>
    <row r="35" spans="1:18">
      <c r="A35" s="223">
        <f t="shared" si="3"/>
        <v>2053</v>
      </c>
      <c r="B35" s="216">
        <v>0</v>
      </c>
      <c r="C35" s="216">
        <f>'Project Capital and O&amp;M Costs'!R38-'Project Capital and O&amp;M Costs'!L38</f>
        <v>-500000</v>
      </c>
      <c r="D35" s="216">
        <f>'Project Capital and O&amp;M Costs'!D8</f>
        <v>132480000</v>
      </c>
      <c r="E35" s="221">
        <f>-'VMT to VOC Savings'!B70</f>
        <v>21336550.830399513</v>
      </c>
      <c r="F35" s="221">
        <f>-'VMT to VOC Savings'!C70</f>
        <v>-4021386.5704693794</v>
      </c>
      <c r="G35" s="222">
        <f t="shared" si="8"/>
        <v>17315164.259930134</v>
      </c>
      <c r="H35" s="219">
        <f>-'VHT to VOTT Savings'!B69</f>
        <v>56068874.82383728</v>
      </c>
      <c r="I35" s="219">
        <f>-'VHT to VOTT Savings'!C69</f>
        <v>-4335547.9467425346</v>
      </c>
      <c r="J35" s="219">
        <f t="shared" si="9"/>
        <v>51733326.877094746</v>
      </c>
      <c r="K35" s="220">
        <f>-'Emissions Costs'!P99</f>
        <v>67506.991900323366</v>
      </c>
      <c r="L35" s="221">
        <f t="shared" si="4"/>
        <v>26092293.990678854</v>
      </c>
      <c r="M35" s="221">
        <f t="shared" si="5"/>
        <v>946352.63178627973</v>
      </c>
      <c r="N35" s="222">
        <f>'Crashes and Crash Cost Savings'!N74</f>
        <v>27038646.622465134</v>
      </c>
      <c r="O35" s="218">
        <v>0</v>
      </c>
      <c r="P35" s="318">
        <f t="shared" si="2"/>
        <v>96154644.751390338</v>
      </c>
      <c r="R35" s="114"/>
    </row>
    <row r="36" spans="1:18">
      <c r="A36" s="147" t="s">
        <v>6</v>
      </c>
      <c r="B36" s="216">
        <f t="shared" ref="B36:P36" si="10">SUM(B6:B35)</f>
        <v>288000000</v>
      </c>
      <c r="C36" s="216">
        <f t="shared" si="10"/>
        <v>-13500000</v>
      </c>
      <c r="D36" s="216">
        <f t="shared" si="10"/>
        <v>132480000</v>
      </c>
      <c r="E36" s="216">
        <f t="shared" si="10"/>
        <v>452297058.72507858</v>
      </c>
      <c r="F36" s="216">
        <f t="shared" si="10"/>
        <v>-95120318.883149385</v>
      </c>
      <c r="G36" s="216">
        <f t="shared" si="10"/>
        <v>357176739.8419292</v>
      </c>
      <c r="H36" s="216">
        <f t="shared" si="10"/>
        <v>1054527958.2450142</v>
      </c>
      <c r="I36" s="216">
        <f t="shared" si="10"/>
        <v>-92494146.095247269</v>
      </c>
      <c r="J36" s="216">
        <f t="shared" si="10"/>
        <v>962033812.14976692</v>
      </c>
      <c r="K36" s="216">
        <f t="shared" si="10"/>
        <v>1317604.1498894307</v>
      </c>
      <c r="L36" s="216">
        <f t="shared" si="10"/>
        <v>546756562.45557559</v>
      </c>
      <c r="M36" s="216">
        <f t="shared" si="10"/>
        <v>19830548.897352487</v>
      </c>
      <c r="N36" s="216">
        <f t="shared" si="10"/>
        <v>566587111.35292816</v>
      </c>
      <c r="O36" s="216">
        <f t="shared" si="10"/>
        <v>288000000</v>
      </c>
      <c r="P36" s="216">
        <f t="shared" si="10"/>
        <v>1887115267.494514</v>
      </c>
      <c r="R36" s="114"/>
    </row>
    <row r="53" spans="1:1">
      <c r="A53" s="182" t="e">
        <f>#REF!*(1+#REF!)</f>
        <v>#REF!</v>
      </c>
    </row>
    <row r="54" spans="1:1">
      <c r="A54" s="182" t="e">
        <f>A53*(1+#REF!)</f>
        <v>#REF!</v>
      </c>
    </row>
    <row r="55" spans="1:1">
      <c r="A55" s="182" t="e">
        <f>A54*(1+#REF!)</f>
        <v>#REF!</v>
      </c>
    </row>
    <row r="56" spans="1:1">
      <c r="A56" s="182" t="e">
        <f>A55*(1+#REF!)</f>
        <v>#REF!</v>
      </c>
    </row>
    <row r="57" spans="1:1">
      <c r="A57" s="182" t="e">
        <f>A56*(1+#REF!)</f>
        <v>#REF!</v>
      </c>
    </row>
    <row r="58" spans="1:1">
      <c r="A58" s="182" t="e">
        <f>A57*(1+#REF!)</f>
        <v>#REF!</v>
      </c>
    </row>
    <row r="59" spans="1:1">
      <c r="A59" s="182" t="e">
        <f>A58*(1+#REF!)</f>
        <v>#REF!</v>
      </c>
    </row>
    <row r="60" spans="1:1">
      <c r="A60" s="182" t="e">
        <f>A59*(1+#REF!)</f>
        <v>#REF!</v>
      </c>
    </row>
    <row r="61" spans="1:1">
      <c r="A61" s="182" t="e">
        <f>A60*(1+#REF!)</f>
        <v>#REF!</v>
      </c>
    </row>
    <row r="62" spans="1:1">
      <c r="A62" s="182" t="e">
        <f>A61*(1+#REF!)</f>
        <v>#REF!</v>
      </c>
    </row>
    <row r="63" spans="1:1">
      <c r="A63" s="182" t="e">
        <f>A62*(1+#REF!)</f>
        <v>#REF!</v>
      </c>
    </row>
    <row r="64" spans="1:1">
      <c r="A64" s="182"/>
    </row>
    <row r="65" spans="1:1">
      <c r="A65" s="182"/>
    </row>
    <row r="66" spans="1:1">
      <c r="A66" s="182"/>
    </row>
    <row r="67" spans="1:1">
      <c r="A67" s="182"/>
    </row>
    <row r="68" spans="1:1">
      <c r="A68" s="182"/>
    </row>
    <row r="69" spans="1:1">
      <c r="A69" s="182"/>
    </row>
    <row r="70" spans="1:1">
      <c r="A70" s="182"/>
    </row>
    <row r="71" spans="1:1">
      <c r="A71" s="182"/>
    </row>
    <row r="72" spans="1:1">
      <c r="A72" s="182"/>
    </row>
    <row r="73" spans="1:1">
      <c r="A73" s="182"/>
    </row>
    <row r="74" spans="1:1">
      <c r="A74" s="182"/>
    </row>
    <row r="75" spans="1:1">
      <c r="A75" s="182"/>
    </row>
    <row r="76" spans="1:1">
      <c r="A76" s="182"/>
    </row>
    <row r="77" spans="1:1">
      <c r="A77" s="182"/>
    </row>
    <row r="78" spans="1:1">
      <c r="A78" s="182"/>
    </row>
    <row r="79" spans="1:1">
      <c r="A79" s="182"/>
    </row>
    <row r="80" spans="1:1">
      <c r="A80" s="182"/>
    </row>
    <row r="81" spans="1:1">
      <c r="A81" s="182"/>
    </row>
    <row r="82" spans="1:1">
      <c r="A82" s="182"/>
    </row>
    <row r="83" spans="1:1">
      <c r="A83" s="182"/>
    </row>
  </sheetData>
  <mergeCells count="5">
    <mergeCell ref="E4:G4"/>
    <mergeCell ref="L4:N4"/>
    <mergeCell ref="H4:J4"/>
    <mergeCell ref="A4:A5"/>
    <mergeCell ref="B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S58"/>
  <sheetViews>
    <sheetView tabSelected="1" workbookViewId="0">
      <selection activeCell="D6" sqref="D6"/>
    </sheetView>
  </sheetViews>
  <sheetFormatPr defaultRowHeight="14.4"/>
  <cols>
    <col min="1" max="1" width="9.109375" style="97"/>
    <col min="2" max="2" width="10.109375" style="97" customWidth="1"/>
    <col min="3" max="3" width="16.33203125" bestFit="1" customWidth="1"/>
    <col min="4" max="5" width="16.5546875" customWidth="1"/>
    <col min="6" max="8" width="14" style="182" customWidth="1"/>
    <col min="9" max="9" width="16" customWidth="1"/>
    <col min="10" max="10" width="14.33203125" customWidth="1"/>
    <col min="11" max="12" width="15.33203125" customWidth="1"/>
    <col min="13" max="15" width="14" style="182" customWidth="1"/>
    <col min="16" max="16" width="15.44140625" customWidth="1"/>
    <col min="17" max="17" width="18" bestFit="1" customWidth="1"/>
    <col min="19" max="19" width="17.88671875" customWidth="1"/>
  </cols>
  <sheetData>
    <row r="1" spans="1:19" s="182" customFormat="1">
      <c r="A1" s="248"/>
      <c r="B1" s="248"/>
    </row>
    <row r="2" spans="1:19" s="182" customFormat="1" ht="22.8">
      <c r="A2" s="189" t="str">
        <f>'Title Sheet'!$A$2</f>
        <v>Benefit-Cost Analysis Spreadsheet for the Illinois International Port - Calumet Bridges Rehabilitation Project</v>
      </c>
      <c r="B2" s="248"/>
    </row>
    <row r="3" spans="1:19" s="182" customFormat="1">
      <c r="A3" s="183"/>
      <c r="B3" s="183"/>
    </row>
    <row r="4" spans="1:19" s="31" customFormat="1" ht="66.75" customHeight="1">
      <c r="A4" s="453" t="s">
        <v>1</v>
      </c>
      <c r="B4" s="143">
        <f>'Default Values'!C15</f>
        <v>7.0000000000000007E-2</v>
      </c>
      <c r="C4" s="454" t="s">
        <v>120</v>
      </c>
      <c r="D4" s="454"/>
      <c r="E4" s="454"/>
      <c r="F4" s="447" t="s">
        <v>98</v>
      </c>
      <c r="G4" s="448"/>
      <c r="H4" s="449"/>
      <c r="I4" s="450" t="s">
        <v>125</v>
      </c>
      <c r="J4" s="451"/>
      <c r="K4" s="452"/>
      <c r="L4" s="204" t="s">
        <v>128</v>
      </c>
      <c r="M4" s="447" t="s">
        <v>130</v>
      </c>
      <c r="N4" s="448"/>
      <c r="O4" s="449"/>
      <c r="P4" s="155" t="s">
        <v>132</v>
      </c>
      <c r="Q4" s="154" t="s">
        <v>133</v>
      </c>
    </row>
    <row r="5" spans="1:19" ht="57.6">
      <c r="A5" s="453"/>
      <c r="B5" s="144" t="s">
        <v>192</v>
      </c>
      <c r="C5" s="150" t="s">
        <v>103</v>
      </c>
      <c r="D5" s="146" t="s">
        <v>203</v>
      </c>
      <c r="E5" s="146" t="s">
        <v>179</v>
      </c>
      <c r="F5" s="210" t="s">
        <v>123</v>
      </c>
      <c r="G5" s="210" t="s">
        <v>124</v>
      </c>
      <c r="H5" s="210" t="s">
        <v>6</v>
      </c>
      <c r="I5" s="146" t="s">
        <v>126</v>
      </c>
      <c r="J5" s="146" t="s">
        <v>127</v>
      </c>
      <c r="K5" s="146" t="s">
        <v>6</v>
      </c>
      <c r="L5" s="146" t="s">
        <v>129</v>
      </c>
      <c r="M5" s="210" t="s">
        <v>31</v>
      </c>
      <c r="N5" s="210" t="s">
        <v>13</v>
      </c>
      <c r="O5" s="210" t="s">
        <v>6</v>
      </c>
      <c r="P5" s="214" t="s">
        <v>121</v>
      </c>
      <c r="Q5" s="215" t="s">
        <v>122</v>
      </c>
    </row>
    <row r="6" spans="1:19" s="182" customFormat="1">
      <c r="A6" s="224">
        <v>2024</v>
      </c>
      <c r="B6" s="262">
        <v>1.3107960100000002</v>
      </c>
      <c r="C6" s="216">
        <f>'BCA Summary Nominal'!B6/'BCA Summary Discounted'!$B6</f>
        <v>73237940.356562406</v>
      </c>
      <c r="D6" s="216">
        <v>0</v>
      </c>
      <c r="E6" s="216">
        <v>0</v>
      </c>
      <c r="F6" s="217">
        <v>0</v>
      </c>
      <c r="G6" s="217">
        <v>0</v>
      </c>
      <c r="H6" s="217">
        <v>0</v>
      </c>
      <c r="I6" s="216">
        <v>0</v>
      </c>
      <c r="J6" s="216">
        <v>0</v>
      </c>
      <c r="K6" s="216">
        <v>0</v>
      </c>
      <c r="L6" s="216">
        <v>0</v>
      </c>
      <c r="M6" s="217">
        <v>0</v>
      </c>
      <c r="N6" s="217">
        <v>0</v>
      </c>
      <c r="O6" s="217">
        <v>0</v>
      </c>
      <c r="P6" s="218">
        <f>C6</f>
        <v>73237940.356562406</v>
      </c>
      <c r="Q6" s="317">
        <f>SUM(H6,K6,L6,O6)</f>
        <v>0</v>
      </c>
    </row>
    <row r="7" spans="1:19">
      <c r="A7" s="145">
        <v>2025</v>
      </c>
      <c r="B7" s="149">
        <v>1.4025517307000004</v>
      </c>
      <c r="C7" s="216">
        <f>'BCA Summary Nominal'!B7/'BCA Summary Discounted'!$B7</f>
        <v>68446673.230432153</v>
      </c>
      <c r="D7" s="216">
        <f>'BCA Summary Nominal'!C7/'BCA Summary Discounted'!$B7</f>
        <v>0</v>
      </c>
      <c r="E7" s="216">
        <f>'BCA Summary Nominal'!D7/'BCA Summary Discounted'!$B7</f>
        <v>0</v>
      </c>
      <c r="F7" s="217">
        <f>'BCA Summary Nominal'!E7/'BCA Summary Discounted'!$B7</f>
        <v>0</v>
      </c>
      <c r="G7" s="217">
        <f>'BCA Summary Nominal'!F7/'BCA Summary Discounted'!$B7</f>
        <v>0</v>
      </c>
      <c r="H7" s="217">
        <f>'BCA Summary Nominal'!G7/'BCA Summary Discounted'!$B7</f>
        <v>0</v>
      </c>
      <c r="I7" s="216">
        <f>'BCA Summary Nominal'!H7/'BCA Summary Discounted'!$B7</f>
        <v>0</v>
      </c>
      <c r="J7" s="216">
        <f>'BCA Summary Nominal'!I7/'BCA Summary Discounted'!$B7</f>
        <v>0</v>
      </c>
      <c r="K7" s="216">
        <f>'BCA Summary Nominal'!J7/'BCA Summary Discounted'!$B7</f>
        <v>0</v>
      </c>
      <c r="L7" s="216">
        <f>'BCA Summary Nominal'!K7/'BCA Summary Discounted'!$B7</f>
        <v>0</v>
      </c>
      <c r="M7" s="217">
        <f>'BCA Summary Nominal'!L7/'BCA Summary Discounted'!$B7</f>
        <v>0</v>
      </c>
      <c r="N7" s="217">
        <f>'BCA Summary Nominal'!M7/'BCA Summary Discounted'!$B7</f>
        <v>0</v>
      </c>
      <c r="O7" s="217">
        <f>'BCA Summary Nominal'!N7/'BCA Summary Discounted'!$B7</f>
        <v>0</v>
      </c>
      <c r="P7" s="218">
        <f>C7</f>
        <v>68446673.230432153</v>
      </c>
      <c r="Q7" s="317">
        <f t="shared" ref="Q7:Q8" si="0">SUM(H7,K7,L7,O7)</f>
        <v>0</v>
      </c>
    </row>
    <row r="8" spans="1:19">
      <c r="A8" s="145">
        <v>2026</v>
      </c>
      <c r="B8" s="149">
        <v>1.5007303518490005</v>
      </c>
      <c r="C8" s="216">
        <f>'BCA Summary Nominal'!B8/'BCA Summary Discounted'!$B8</f>
        <v>63968853.486385182</v>
      </c>
      <c r="D8" s="216">
        <f>'BCA Summary Nominal'!C8/'BCA Summary Discounted'!$B8</f>
        <v>0</v>
      </c>
      <c r="E8" s="216">
        <f>'BCA Summary Nominal'!D8/'BCA Summary Discounted'!$B8</f>
        <v>0</v>
      </c>
      <c r="F8" s="217">
        <f>'BCA Summary Nominal'!E8/'BCA Summary Discounted'!$B8</f>
        <v>0</v>
      </c>
      <c r="G8" s="217">
        <f>'BCA Summary Nominal'!F8/'BCA Summary Discounted'!$B8</f>
        <v>0</v>
      </c>
      <c r="H8" s="217">
        <f>'BCA Summary Nominal'!G8/'BCA Summary Discounted'!$B8</f>
        <v>0</v>
      </c>
      <c r="I8" s="216">
        <f>'BCA Summary Nominal'!H8/'BCA Summary Discounted'!$B8</f>
        <v>0</v>
      </c>
      <c r="J8" s="216">
        <f>'BCA Summary Nominal'!I8/'BCA Summary Discounted'!$B8</f>
        <v>0</v>
      </c>
      <c r="K8" s="216">
        <f>'BCA Summary Nominal'!J8/'BCA Summary Discounted'!$B8</f>
        <v>0</v>
      </c>
      <c r="L8" s="216">
        <f>'BCA Summary Nominal'!K8/'BCA Summary Discounted'!$B8</f>
        <v>0</v>
      </c>
      <c r="M8" s="217">
        <f>'BCA Summary Nominal'!L8/'BCA Summary Discounted'!$B8</f>
        <v>0</v>
      </c>
      <c r="N8" s="217">
        <f>'BCA Summary Nominal'!M8/'BCA Summary Discounted'!$B8</f>
        <v>0</v>
      </c>
      <c r="O8" s="217">
        <f>'BCA Summary Nominal'!N8/'BCA Summary Discounted'!$B8</f>
        <v>0</v>
      </c>
      <c r="P8" s="218">
        <f>C8</f>
        <v>63968853.486385182</v>
      </c>
      <c r="Q8" s="317">
        <f t="shared" si="0"/>
        <v>0</v>
      </c>
    </row>
    <row r="9" spans="1:19">
      <c r="A9" s="145">
        <v>2027</v>
      </c>
      <c r="B9" s="149">
        <v>1.6057814764784306</v>
      </c>
      <c r="C9" s="216">
        <f>'BCA Summary Nominal'!B9/'BCA Summary Discounted'!$B9</f>
        <v>0</v>
      </c>
      <c r="D9" s="216">
        <f>'BCA Summary Nominal'!C9/'BCA Summary Discounted'!$B9</f>
        <v>-311374.87094229547</v>
      </c>
      <c r="E9" s="216">
        <f>'BCA Summary Nominal'!D9/'BCA Summary Discounted'!$B9</f>
        <v>0</v>
      </c>
      <c r="F9" s="217">
        <f>'BCA Summary Nominal'!E9/'BCA Summary Discounted'!$B9</f>
        <v>6998186.481070268</v>
      </c>
      <c r="G9" s="217">
        <f>'BCA Summary Nominal'!F9/'BCA Summary Discounted'!$B9</f>
        <v>-1824731.7261275148</v>
      </c>
      <c r="H9" s="217">
        <f>'BCA Summary Nominal'!G9/'BCA Summary Discounted'!$B9</f>
        <v>5173454.7549427534</v>
      </c>
      <c r="I9" s="216">
        <f>'BCA Summary Nominal'!H9/'BCA Summary Discounted'!$B9</f>
        <v>11977938.833926054</v>
      </c>
      <c r="J9" s="216">
        <f>'BCA Summary Nominal'!I9/'BCA Summary Discounted'!$B9</f>
        <v>-1480815.8665234982</v>
      </c>
      <c r="K9" s="216">
        <f>'BCA Summary Nominal'!J9/'BCA Summary Discounted'!$B9</f>
        <v>10497122.967402555</v>
      </c>
      <c r="L9" s="216">
        <f>'BCA Summary Nominal'!K9/'BCA Summary Discounted'!$B9</f>
        <v>14997.838658192997</v>
      </c>
      <c r="M9" s="217">
        <f>'BCA Summary Nominal'!L9/'BCA Summary Discounted'!$B9</f>
        <v>8232578.4810746582</v>
      </c>
      <c r="N9" s="217">
        <f>'BCA Summary Nominal'!M9/'BCA Summary Discounted'!$B9</f>
        <v>298590.92936540215</v>
      </c>
      <c r="O9" s="217">
        <f>'BCA Summary Nominal'!N9/'BCA Summary Discounted'!$B9</f>
        <v>8531169.4104400594</v>
      </c>
      <c r="P9" s="218">
        <f>C9</f>
        <v>0</v>
      </c>
      <c r="Q9" s="312">
        <f>SUM(H9,K9,L9,O9)</f>
        <v>24216744.97144356</v>
      </c>
    </row>
    <row r="10" spans="1:19">
      <c r="A10" s="145">
        <v>2028</v>
      </c>
      <c r="B10" s="149">
        <v>1.7181861798319209</v>
      </c>
      <c r="C10" s="216">
        <f>'BCA Summary Nominal'!B10/'BCA Summary Discounted'!$B10</f>
        <v>0</v>
      </c>
      <c r="D10" s="216">
        <f>'BCA Summary Nominal'!C10/'BCA Summary Discounted'!$B10</f>
        <v>-291004.55228251911</v>
      </c>
      <c r="E10" s="216">
        <f>'BCA Summary Nominal'!D10/'BCA Summary Discounted'!$B10</f>
        <v>0</v>
      </c>
      <c r="F10" s="217">
        <f>'BCA Summary Nominal'!E10/'BCA Summary Discounted'!$B10</f>
        <v>6779714.3260364234</v>
      </c>
      <c r="G10" s="217">
        <f>'BCA Summary Nominal'!F10/'BCA Summary Discounted'!$B10</f>
        <v>-1730731.4555140401</v>
      </c>
      <c r="H10" s="217">
        <f>'BCA Summary Nominal'!G10/'BCA Summary Discounted'!$B10</f>
        <v>5048982.8705223836</v>
      </c>
      <c r="I10" s="219">
        <f>'BCA Summary Nominal'!H10/'BCA Summary Discounted'!$B10</f>
        <v>12020074.903490245</v>
      </c>
      <c r="J10" s="219">
        <f>'BCA Summary Nominal'!I10/'BCA Summary Discounted'!$B10</f>
        <v>-1426927.8120536574</v>
      </c>
      <c r="K10" s="219">
        <f>'BCA Summary Nominal'!J10/'BCA Summary Discounted'!$B10</f>
        <v>10593147.091436589</v>
      </c>
      <c r="L10" s="220">
        <f>'BCA Summary Nominal'!K10/'BCA Summary Discounted'!$B10</f>
        <v>15302.908962401283</v>
      </c>
      <c r="M10" s="217">
        <f>'BCA Summary Nominal'!L10/'BCA Summary Discounted'!$B10</f>
        <v>7999402.1688716691</v>
      </c>
      <c r="N10" s="217">
        <f>'BCA Summary Nominal'!M10/'BCA Summary Discounted'!$B10</f>
        <v>290133.75742021599</v>
      </c>
      <c r="O10" s="217">
        <f>'BCA Summary Nominal'!N10/'BCA Summary Discounted'!$B10</f>
        <v>8289535.9262918849</v>
      </c>
      <c r="P10" s="218">
        <f>C10</f>
        <v>0</v>
      </c>
      <c r="Q10" s="312">
        <f t="shared" ref="Q10:Q35" si="1">SUM(H10,K10,L10,O10)</f>
        <v>23946968.797213256</v>
      </c>
    </row>
    <row r="11" spans="1:19">
      <c r="A11" s="145">
        <v>2029</v>
      </c>
      <c r="B11" s="149">
        <v>1.8384592124201555</v>
      </c>
      <c r="C11" s="216">
        <v>0</v>
      </c>
      <c r="D11" s="216">
        <f>'BCA Summary Nominal'!C11/'BCA Summary Discounted'!$B11</f>
        <v>-271966.87129207392</v>
      </c>
      <c r="E11" s="216">
        <f>'BCA Summary Nominal'!D11/'BCA Summary Discounted'!$B11</f>
        <v>0</v>
      </c>
      <c r="F11" s="221">
        <f>'BCA Summary Nominal'!E11/'BCA Summary Discounted'!$B11</f>
        <v>6561208.6684074895</v>
      </c>
      <c r="G11" s="221">
        <f>'BCA Summary Nominal'!F11/'BCA Summary Discounted'!$B11</f>
        <v>-1641402.6159876396</v>
      </c>
      <c r="H11" s="222">
        <f>'BCA Summary Nominal'!G11/'BCA Summary Discounted'!$B11</f>
        <v>4919806.0524198506</v>
      </c>
      <c r="I11" s="219">
        <f>'BCA Summary Nominal'!H11/'BCA Summary Discounted'!$B11</f>
        <v>12013944.925525928</v>
      </c>
      <c r="J11" s="219">
        <f>'BCA Summary Nominal'!I11/'BCA Summary Discounted'!$B11</f>
        <v>-1374269.7732790764</v>
      </c>
      <c r="K11" s="219">
        <f>'BCA Summary Nominal'!J11/'BCA Summary Discounted'!$B11</f>
        <v>10639675.152246851</v>
      </c>
      <c r="L11" s="220">
        <f>-'Emissions Costs'!W75</f>
        <v>22157.209625519939</v>
      </c>
      <c r="M11" s="221">
        <f>'BCA Summary Nominal'!L11/'BCA Summary Discounted'!$B11</f>
        <v>7763174.8191755805</v>
      </c>
      <c r="N11" s="221">
        <f>'BCA Summary Nominal'!M11/'BCA Summary Discounted'!$B11</f>
        <v>281565.92608408845</v>
      </c>
      <c r="O11" s="222">
        <f>'BCA Summary Nominal'!N11/'BCA Summary Discounted'!$B11</f>
        <v>8044740.7452596696</v>
      </c>
      <c r="P11" s="218">
        <v>0</v>
      </c>
      <c r="Q11" s="312">
        <f t="shared" si="1"/>
        <v>23626379.159551892</v>
      </c>
      <c r="S11" s="114"/>
    </row>
    <row r="12" spans="1:19">
      <c r="A12" s="145">
        <v>2030</v>
      </c>
      <c r="B12" s="149">
        <v>1.9671513572895665</v>
      </c>
      <c r="C12" s="216">
        <v>0</v>
      </c>
      <c r="D12" s="216">
        <f>'BCA Summary Nominal'!C12/'BCA Summary Discounted'!$B12</f>
        <v>-254174.64606735879</v>
      </c>
      <c r="E12" s="216">
        <f>'BCA Summary Nominal'!D12/'BCA Summary Discounted'!$B12</f>
        <v>0</v>
      </c>
      <c r="F12" s="221">
        <f>'BCA Summary Nominal'!E12/'BCA Summary Discounted'!$B12</f>
        <v>6343527.4692776222</v>
      </c>
      <c r="G12" s="221">
        <f>'BCA Summary Nominal'!F12/'BCA Summary Discounted'!$B12</f>
        <v>-1556525.4832281668</v>
      </c>
      <c r="H12" s="222">
        <f>'BCA Summary Nominal'!G12/'BCA Summary Discounted'!$B12</f>
        <v>4787001.9860494556</v>
      </c>
      <c r="I12" s="219">
        <f>'BCA Summary Nominal'!H12/'BCA Summary Discounted'!$B12</f>
        <v>11965194.494482789</v>
      </c>
      <c r="J12" s="219">
        <f>'BCA Summary Nominal'!I12/'BCA Summary Discounted'!$B12</f>
        <v>-1322882.6770764745</v>
      </c>
      <c r="K12" s="219">
        <f>'BCA Summary Nominal'!J12/'BCA Summary Discounted'!$B12</f>
        <v>10642311.817406313</v>
      </c>
      <c r="L12" s="220">
        <f>-'Emissions Costs'!W76</f>
        <v>22819.574170271448</v>
      </c>
      <c r="M12" s="221">
        <f>'BCA Summary Nominal'!L12/'BCA Summary Discounted'!$B12</f>
        <v>7525191.0693314038</v>
      </c>
      <c r="N12" s="221">
        <f>'BCA Summary Nominal'!M12/'BCA Summary Discounted'!$B12</f>
        <v>272934.39111564681</v>
      </c>
      <c r="O12" s="222">
        <f>'BCA Summary Nominal'!N12/'BCA Summary Discounted'!$B12</f>
        <v>7798125.4604470506</v>
      </c>
      <c r="P12" s="218">
        <v>0</v>
      </c>
      <c r="Q12" s="312">
        <f t="shared" si="1"/>
        <v>23250258.83807309</v>
      </c>
      <c r="S12" s="114"/>
    </row>
    <row r="13" spans="1:19">
      <c r="A13" s="145">
        <v>2031</v>
      </c>
      <c r="B13" s="149">
        <v>2.1048519522998363</v>
      </c>
      <c r="C13" s="216">
        <v>0</v>
      </c>
      <c r="D13" s="216">
        <f>'BCA Summary Nominal'!C13/'BCA Summary Discounted'!$B13</f>
        <v>-237546.39819379323</v>
      </c>
      <c r="E13" s="216">
        <f>'BCA Summary Nominal'!D13/'BCA Summary Discounted'!$B13</f>
        <v>0</v>
      </c>
      <c r="F13" s="221">
        <f>'BCA Summary Nominal'!E13/'BCA Summary Discounted'!$B13</f>
        <v>6127421.5525496546</v>
      </c>
      <c r="G13" s="221">
        <f>'BCA Summary Nominal'!F13/'BCA Summary Discounted'!$B13</f>
        <v>-1475889.7314345154</v>
      </c>
      <c r="H13" s="222">
        <f>'BCA Summary Nominal'!G13/'BCA Summary Discounted'!$B13</f>
        <v>4651531.8211151389</v>
      </c>
      <c r="I13" s="219">
        <f>'BCA Summary Nominal'!H13/'BCA Summary Discounted'!$B13</f>
        <v>11878965.169116832</v>
      </c>
      <c r="J13" s="219">
        <f>'BCA Summary Nominal'!I13/'BCA Summary Discounted'!$B13</f>
        <v>-1272798.4277972081</v>
      </c>
      <c r="K13" s="219">
        <f>'BCA Summary Nominal'!J13/'BCA Summary Discounted'!$B13</f>
        <v>10606166.741319623</v>
      </c>
      <c r="L13" s="220">
        <f>-'Emissions Costs'!W77</f>
        <v>23449.374954927385</v>
      </c>
      <c r="M13" s="221">
        <f>'BCA Summary Nominal'!L13/'BCA Summary Discounted'!$B13</f>
        <v>7286595.4979918851</v>
      </c>
      <c r="N13" s="221">
        <f>'BCA Summary Nominal'!M13/'BCA Summary Discounted'!$B13</f>
        <v>264280.66573027568</v>
      </c>
      <c r="O13" s="222">
        <f>'BCA Summary Nominal'!N13/'BCA Summary Discounted'!$B13</f>
        <v>7550876.1637221612</v>
      </c>
      <c r="P13" s="218">
        <v>0</v>
      </c>
      <c r="Q13" s="312">
        <f t="shared" si="1"/>
        <v>22832024.101111852</v>
      </c>
      <c r="S13" s="114"/>
    </row>
    <row r="14" spans="1:19">
      <c r="A14" s="145">
        <v>2032</v>
      </c>
      <c r="B14" s="149">
        <v>2.2521915889608248</v>
      </c>
      <c r="C14" s="216">
        <v>0</v>
      </c>
      <c r="D14" s="216">
        <f>'BCA Summary Nominal'!C14/'BCA Summary Discounted'!$B14</f>
        <v>-222005.97962036752</v>
      </c>
      <c r="E14" s="216">
        <f>'BCA Summary Nominal'!D14/'BCA Summary Discounted'!$B14</f>
        <v>0</v>
      </c>
      <c r="F14" s="221">
        <f>'BCA Summary Nominal'!E14/'BCA Summary Discounted'!$B14</f>
        <v>5913544.6471027471</v>
      </c>
      <c r="G14" s="221">
        <f>'BCA Summary Nominal'!F14/'BCA Summary Discounted'!$B14</f>
        <v>-1399294.1058605674</v>
      </c>
      <c r="H14" s="222">
        <f>'BCA Summary Nominal'!G14/'BCA Summary Discounted'!$B14</f>
        <v>4514250.5412421804</v>
      </c>
      <c r="I14" s="219">
        <f>'BCA Summary Nominal'!H14/'BCA Summary Discounted'!$B14</f>
        <v>11759934.651999271</v>
      </c>
      <c r="J14" s="219">
        <f>'BCA Summary Nominal'!I14/'BCA Summary Discounted'!$B14</f>
        <v>-1224040.8242891522</v>
      </c>
      <c r="K14" s="219">
        <f>'BCA Summary Nominal'!J14/'BCA Summary Discounted'!$B14</f>
        <v>10535893.827710118</v>
      </c>
      <c r="L14" s="220">
        <f>-'Emissions Costs'!W78</f>
        <v>24015.410321663207</v>
      </c>
      <c r="M14" s="221">
        <f>'BCA Summary Nominal'!L14/'BCA Summary Discounted'!$B14</f>
        <v>7048396.3342610775</v>
      </c>
      <c r="N14" s="221">
        <f>'BCA Summary Nominal'!M14/'BCA Summary Discounted'!$B14</f>
        <v>255641.31782294071</v>
      </c>
      <c r="O14" s="222">
        <f>'BCA Summary Nominal'!N14/'BCA Summary Discounted'!$B14</f>
        <v>7304037.652084019</v>
      </c>
      <c r="P14" s="218">
        <v>0</v>
      </c>
      <c r="Q14" s="312">
        <f t="shared" si="1"/>
        <v>22378197.43135798</v>
      </c>
      <c r="S14" s="114"/>
    </row>
    <row r="15" spans="1:19">
      <c r="A15" s="145">
        <v>2033</v>
      </c>
      <c r="B15" s="149">
        <v>2.4098450001880827</v>
      </c>
      <c r="C15" s="216">
        <v>0</v>
      </c>
      <c r="D15" s="216">
        <f>'BCA Summary Nominal'!C15/'BCA Summary Discounted'!$B15</f>
        <v>-207482.22394426868</v>
      </c>
      <c r="E15" s="216">
        <f>'BCA Summary Nominal'!D15/'BCA Summary Discounted'!$B15</f>
        <v>0</v>
      </c>
      <c r="F15" s="221">
        <f>'BCA Summary Nominal'!E15/'BCA Summary Discounted'!$B15</f>
        <v>5702462.5921137361</v>
      </c>
      <c r="G15" s="221">
        <f>'BCA Summary Nominal'!F15/'BCA Summary Discounted'!$B15</f>
        <v>-1326546.1002321907</v>
      </c>
      <c r="H15" s="222">
        <f>'BCA Summary Nominal'!G15/'BCA Summary Discounted'!$B15</f>
        <v>4375916.4918815456</v>
      </c>
      <c r="I15" s="219">
        <f>'BCA Summary Nominal'!H15/'BCA Summary Discounted'!$B15</f>
        <v>11612353.960846938</v>
      </c>
      <c r="J15" s="219">
        <f>'BCA Summary Nominal'!I15/'BCA Summary Discounted'!$B15</f>
        <v>-1176626.4004167721</v>
      </c>
      <c r="K15" s="219">
        <f>'BCA Summary Nominal'!J15/'BCA Summary Discounted'!$B15</f>
        <v>10435727.560430167</v>
      </c>
      <c r="L15" s="220">
        <f>-'Emissions Costs'!W79</f>
        <v>24522.141089259403</v>
      </c>
      <c r="M15" s="221">
        <f>'BCA Summary Nominal'!L15/'BCA Summary Discounted'!$B15</f>
        <v>6811478.0387991965</v>
      </c>
      <c r="N15" s="221">
        <f>'BCA Summary Nominal'!M15/'BCA Summary Discounted'!$B15</f>
        <v>247048.42627769109</v>
      </c>
      <c r="O15" s="222">
        <f>'BCA Summary Nominal'!N15/'BCA Summary Discounted'!$B15</f>
        <v>7058526.465076888</v>
      </c>
      <c r="P15" s="218">
        <v>0</v>
      </c>
      <c r="Q15" s="312">
        <f t="shared" si="1"/>
        <v>21894692.658477858</v>
      </c>
      <c r="S15" s="114"/>
    </row>
    <row r="16" spans="1:19">
      <c r="A16" s="145">
        <v>2034</v>
      </c>
      <c r="B16" s="149">
        <v>2.5785341502012487</v>
      </c>
      <c r="C16" s="216">
        <v>0</v>
      </c>
      <c r="D16" s="216">
        <f>'BCA Summary Nominal'!C16/'BCA Summary Discounted'!$B16</f>
        <v>-193908.62050866231</v>
      </c>
      <c r="E16" s="216">
        <f>'BCA Summary Nominal'!D16/'BCA Summary Discounted'!$B16</f>
        <v>0</v>
      </c>
      <c r="F16" s="221">
        <f>'BCA Summary Nominal'!E16/'BCA Summary Discounted'!$B16</f>
        <v>5494661.7708989335</v>
      </c>
      <c r="G16" s="221">
        <f>'BCA Summary Nominal'!F16/'BCA Summary Discounted'!$B16</f>
        <v>-1257461.6396779467</v>
      </c>
      <c r="H16" s="222">
        <f>'BCA Summary Nominal'!G16/'BCA Summary Discounted'!$B16</f>
        <v>4237200.1312209861</v>
      </c>
      <c r="I16" s="219">
        <f>'BCA Summary Nominal'!H16/'BCA Summary Discounted'!$B16</f>
        <v>11440081.808079865</v>
      </c>
      <c r="J16" s="219">
        <f>'BCA Summary Nominal'!I16/'BCA Summary Discounted'!$B16</f>
        <v>-1130565.1949010498</v>
      </c>
      <c r="K16" s="219">
        <f>'BCA Summary Nominal'!J16/'BCA Summary Discounted'!$B16</f>
        <v>10309516.613178816</v>
      </c>
      <c r="L16" s="220">
        <f>-'Emissions Costs'!W80</f>
        <v>24973.619144804419</v>
      </c>
      <c r="M16" s="221">
        <f>'BCA Summary Nominal'!L16/'BCA Summary Discounted'!$B16</f>
        <v>6576612.8443952557</v>
      </c>
      <c r="N16" s="221">
        <f>'BCA Summary Nominal'!M16/'BCA Summary Discounted'!$B16</f>
        <v>238529.99953765175</v>
      </c>
      <c r="O16" s="222">
        <f>'BCA Summary Nominal'!N16/'BCA Summary Discounted'!$B16</f>
        <v>6815142.8439329062</v>
      </c>
      <c r="P16" s="218">
        <v>0</v>
      </c>
      <c r="Q16" s="312">
        <f t="shared" si="1"/>
        <v>21386833.20747751</v>
      </c>
      <c r="S16" s="114"/>
    </row>
    <row r="17" spans="1:19">
      <c r="A17" s="145">
        <v>2035</v>
      </c>
      <c r="B17" s="149">
        <v>2.7590315407153363</v>
      </c>
      <c r="C17" s="216">
        <v>0</v>
      </c>
      <c r="D17" s="216">
        <f>'BCA Summary Nominal'!C17/'BCA Summary Discounted'!$B17</f>
        <v>-181223.00982117973</v>
      </c>
      <c r="E17" s="216">
        <f>'BCA Summary Nominal'!D17/'BCA Summary Discounted'!$B17</f>
        <v>0</v>
      </c>
      <c r="F17" s="221">
        <f>'BCA Summary Nominal'!E17/'BCA Summary Discounted'!$B17</f>
        <v>5290556.8337710239</v>
      </c>
      <c r="G17" s="221">
        <f>'BCA Summary Nominal'!F17/'BCA Summary Discounted'!$B17</f>
        <v>-1191864.7697037472</v>
      </c>
      <c r="H17" s="222">
        <f>'BCA Summary Nominal'!G17/'BCA Summary Discounted'!$B17</f>
        <v>4098692.0640672767</v>
      </c>
      <c r="I17" s="219">
        <f>'BCA Summary Nominal'!H17/'BCA Summary Discounted'!$B17</f>
        <v>11246616.389874294</v>
      </c>
      <c r="J17" s="219">
        <f>'BCA Summary Nominal'!I17/'BCA Summary Discounted'!$B17</f>
        <v>-1085861.4558740405</v>
      </c>
      <c r="K17" s="219">
        <f>'BCA Summary Nominal'!J17/'BCA Summary Discounted'!$B17</f>
        <v>10160754.934000254</v>
      </c>
      <c r="L17" s="220">
        <f>-'Emissions Costs'!W81</f>
        <v>25992.127810633734</v>
      </c>
      <c r="M17" s="221">
        <f>'BCA Summary Nominal'!L17/'BCA Summary Discounted'!$B17</f>
        <v>6344471.3369561313</v>
      </c>
      <c r="N17" s="221">
        <f>'BCA Summary Nominal'!M17/'BCA Summary Discounted'!$B17</f>
        <v>230110.35937146595</v>
      </c>
      <c r="O17" s="222">
        <f>'BCA Summary Nominal'!N17/'BCA Summary Discounted'!$B17</f>
        <v>6574581.6963275978</v>
      </c>
      <c r="P17" s="218">
        <v>0</v>
      </c>
      <c r="Q17" s="312">
        <f t="shared" si="1"/>
        <v>20860020.82220576</v>
      </c>
      <c r="S17" s="114"/>
    </row>
    <row r="18" spans="1:19">
      <c r="A18" s="145">
        <v>2036</v>
      </c>
      <c r="B18" s="149">
        <v>2.9521637485654102</v>
      </c>
      <c r="C18" s="216">
        <v>0</v>
      </c>
      <c r="D18" s="216">
        <f>'BCA Summary Nominal'!C18/'BCA Summary Discounted'!$B18</f>
        <v>-169367.29889829879</v>
      </c>
      <c r="E18" s="216">
        <f>'BCA Summary Nominal'!D18/'BCA Summary Discounted'!$B18</f>
        <v>0</v>
      </c>
      <c r="F18" s="221">
        <f>'BCA Summary Nominal'!E18/'BCA Summary Discounted'!$B18</f>
        <v>5090497.7658367325</v>
      </c>
      <c r="G18" s="221">
        <f>'BCA Summary Nominal'!F18/'BCA Summary Discounted'!$B18</f>
        <v>-1129587.3516611012</v>
      </c>
      <c r="H18" s="222">
        <f>'BCA Summary Nominal'!G18/'BCA Summary Discounted'!$B18</f>
        <v>3960910.414175631</v>
      </c>
      <c r="I18" s="219">
        <f>'BCA Summary Nominal'!H18/'BCA Summary Discounted'!$B18</f>
        <v>11035124.771860173</v>
      </c>
      <c r="J18" s="219">
        <f>'BCA Summary Nominal'!I18/'BCA Summary Discounted'!$B18</f>
        <v>-1042514.2851596461</v>
      </c>
      <c r="K18" s="219">
        <f>'BCA Summary Nominal'!J18/'BCA Summary Discounted'!$B18</f>
        <v>9992610.4867005274</v>
      </c>
      <c r="L18" s="220">
        <f>-'Emissions Costs'!W82</f>
        <v>26513.186881446622</v>
      </c>
      <c r="M18" s="221">
        <f>'BCA Summary Nominal'!L18/'BCA Summary Discounted'!$B18</f>
        <v>6115632.1518093646</v>
      </c>
      <c r="N18" s="221">
        <f>'BCA Summary Nominal'!M18/'BCA Summary Discounted'!$B18</f>
        <v>221810.49255267126</v>
      </c>
      <c r="O18" s="222">
        <f>'BCA Summary Nominal'!N18/'BCA Summary Discounted'!$B18</f>
        <v>6337442.6443620352</v>
      </c>
      <c r="P18" s="218">
        <v>0</v>
      </c>
      <c r="Q18" s="312">
        <f t="shared" si="1"/>
        <v>20317476.732119642</v>
      </c>
      <c r="S18" s="114"/>
    </row>
    <row r="19" spans="1:19">
      <c r="A19" s="145">
        <v>2037</v>
      </c>
      <c r="B19" s="149">
        <v>3.1588152109649892</v>
      </c>
      <c r="C19" s="216">
        <v>0</v>
      </c>
      <c r="D19" s="216">
        <f>'BCA Summary Nominal'!C19/'BCA Summary Discounted'!$B19</f>
        <v>-158287.19523205492</v>
      </c>
      <c r="E19" s="216">
        <f>'BCA Summary Nominal'!D19/'BCA Summary Discounted'!$B19</f>
        <v>0</v>
      </c>
      <c r="F19" s="221">
        <f>'BCA Summary Nominal'!E19/'BCA Summary Discounted'!$B19</f>
        <v>4894776.3514580885</v>
      </c>
      <c r="G19" s="221">
        <f>'BCA Summary Nominal'!F19/'BCA Summary Discounted'!$B19</f>
        <v>-1070468.7650773239</v>
      </c>
      <c r="H19" s="222">
        <f>'BCA Summary Nominal'!G19/'BCA Summary Discounted'!$B19</f>
        <v>3824307.5863807648</v>
      </c>
      <c r="I19" s="219">
        <f>'BCA Summary Nominal'!H19/'BCA Summary Discounted'!$B19</f>
        <v>10808470.045479402</v>
      </c>
      <c r="J19" s="219">
        <f>'BCA Summary Nominal'!I19/'BCA Summary Discounted'!$B19</f>
        <v>-1000518.2269218323</v>
      </c>
      <c r="K19" s="219">
        <f>'BCA Summary Nominal'!J19/'BCA Summary Discounted'!$B19</f>
        <v>9807951.8185575698</v>
      </c>
      <c r="L19" s="220">
        <f>-'Emissions Costs'!W83</f>
        <v>27034.245952259509</v>
      </c>
      <c r="M19" s="221">
        <f>'BCA Summary Nominal'!L19/'BCA Summary Discounted'!$B19</f>
        <v>5890590.8546018414</v>
      </c>
      <c r="N19" s="221">
        <f>'BCA Summary Nominal'!M19/'BCA Summary Discounted'!$B19</f>
        <v>213648.37296483369</v>
      </c>
      <c r="O19" s="222">
        <f>'BCA Summary Nominal'!N19/'BCA Summary Discounted'!$B19</f>
        <v>6104239.2275666762</v>
      </c>
      <c r="P19" s="218">
        <v>0</v>
      </c>
      <c r="Q19" s="312">
        <f t="shared" si="1"/>
        <v>19763532.878457271</v>
      </c>
      <c r="S19" s="114"/>
    </row>
    <row r="20" spans="1:19">
      <c r="A20" s="145">
        <v>2038</v>
      </c>
      <c r="B20" s="149">
        <v>3.3799322757325387</v>
      </c>
      <c r="C20" s="216">
        <v>0</v>
      </c>
      <c r="D20" s="216">
        <f>'BCA Summary Nominal'!C20/'BCA Summary Discounted'!$B20</f>
        <v>-147931.95816079897</v>
      </c>
      <c r="E20" s="216">
        <f>'BCA Summary Nominal'!D20/'BCA Summary Discounted'!$B20</f>
        <v>0</v>
      </c>
      <c r="F20" s="221">
        <f>'BCA Summary Nominal'!E20/'BCA Summary Discounted'!$B20</f>
        <v>4703632.0831905035</v>
      </c>
      <c r="G20" s="221">
        <f>'BCA Summary Nominal'!F20/'BCA Summary Discounted'!$B20</f>
        <v>-1014355.6171496223</v>
      </c>
      <c r="H20" s="222">
        <f>'BCA Summary Nominal'!G20/'BCA Summary Discounted'!$B20</f>
        <v>3689276.4660408809</v>
      </c>
      <c r="I20" s="219">
        <f>'BCA Summary Nominal'!H20/'BCA Summary Discounted'!$B20</f>
        <v>10569236.416803531</v>
      </c>
      <c r="J20" s="219">
        <f>'BCA Summary Nominal'!I20/'BCA Summary Discounted'!$B20</f>
        <v>-959863.80499201</v>
      </c>
      <c r="K20" s="219">
        <f>'BCA Summary Nominal'!J20/'BCA Summary Discounted'!$B20</f>
        <v>9609372.6118115224</v>
      </c>
      <c r="L20" s="220">
        <f>-'Emissions Costs'!W84</f>
        <v>27497.507753626436</v>
      </c>
      <c r="M20" s="221">
        <f>'BCA Summary Nominal'!L20/'BCA Summary Discounted'!$B20</f>
        <v>5669768.0708630458</v>
      </c>
      <c r="N20" s="221">
        <f>'BCA Summary Nominal'!M20/'BCA Summary Discounted'!$B20</f>
        <v>205639.25645617268</v>
      </c>
      <c r="O20" s="222">
        <f>'BCA Summary Nominal'!N20/'BCA Summary Discounted'!$B20</f>
        <v>5875407.3273192188</v>
      </c>
      <c r="P20" s="218">
        <v>0</v>
      </c>
      <c r="Q20" s="312">
        <f t="shared" si="1"/>
        <v>19201553.912925247</v>
      </c>
      <c r="S20" s="114"/>
    </row>
    <row r="21" spans="1:19">
      <c r="A21" s="145">
        <v>2039</v>
      </c>
      <c r="B21" s="149">
        <v>3.6165275350338169</v>
      </c>
      <c r="C21" s="216">
        <v>0</v>
      </c>
      <c r="D21" s="216">
        <f>'BCA Summary Nominal'!C21/'BCA Summary Discounted'!$B21</f>
        <v>-138254.16650541959</v>
      </c>
      <c r="E21" s="216">
        <f>'BCA Summary Nominal'!D21/'BCA Summary Discounted'!$B21</f>
        <v>0</v>
      </c>
      <c r="F21" s="221">
        <f>'BCA Summary Nominal'!E21/'BCA Summary Discounted'!$B21</f>
        <v>4517257.5593878813</v>
      </c>
      <c r="G21" s="221">
        <f>'BCA Summary Nominal'!F21/'BCA Summary Discounted'!$B21</f>
        <v>-961101.45964011468</v>
      </c>
      <c r="H21" s="222">
        <f>'BCA Summary Nominal'!G21/'BCA Summary Discounted'!$B21</f>
        <v>3556156.0997477663</v>
      </c>
      <c r="I21" s="219">
        <f>'BCA Summary Nominal'!H21/'BCA Summary Discounted'!$B21</f>
        <v>10319752.378200067</v>
      </c>
      <c r="J21" s="219">
        <f>'BCA Summary Nominal'!I21/'BCA Summary Discounted'!$B21</f>
        <v>-920538.01286567992</v>
      </c>
      <c r="K21" s="219">
        <f>'BCA Summary Nominal'!J21/'BCA Summary Discounted'!$B21</f>
        <v>9399214.365334386</v>
      </c>
      <c r="L21" s="220">
        <f>-'Emissions Costs'!W85</f>
        <v>27334.570775832395</v>
      </c>
      <c r="M21" s="221">
        <f>'BCA Summary Nominal'!L21/'BCA Summary Discounted'!$B21</f>
        <v>5453516.923497336</v>
      </c>
      <c r="N21" s="221">
        <f>'BCA Summary Nominal'!M21/'BCA Summary Discounted'!$B21</f>
        <v>197795.95059316762</v>
      </c>
      <c r="O21" s="222">
        <f>'BCA Summary Nominal'!N21/'BCA Summary Discounted'!$B21</f>
        <v>5651312.874090503</v>
      </c>
      <c r="P21" s="218">
        <v>0</v>
      </c>
      <c r="Q21" s="312">
        <f t="shared" si="1"/>
        <v>18634017.909948487</v>
      </c>
      <c r="S21" s="114"/>
    </row>
    <row r="22" spans="1:19">
      <c r="A22" s="145">
        <v>2040</v>
      </c>
      <c r="B22" s="149">
        <v>3.8696844624861844</v>
      </c>
      <c r="C22" s="216">
        <v>0</v>
      </c>
      <c r="D22" s="216">
        <f>'BCA Summary Nominal'!C22/'BCA Summary Discounted'!$B22</f>
        <v>-129209.50140693419</v>
      </c>
      <c r="E22" s="216">
        <f>'BCA Summary Nominal'!D22/'BCA Summary Discounted'!$B22</f>
        <v>0</v>
      </c>
      <c r="F22" s="221">
        <f>'BCA Summary Nominal'!E22/'BCA Summary Discounted'!$B22</f>
        <v>4335803.4113165764</v>
      </c>
      <c r="G22" s="221">
        <f>'BCA Summary Nominal'!F22/'BCA Summary Discounted'!$B22</f>
        <v>-910566.51335379772</v>
      </c>
      <c r="H22" s="222">
        <f>'BCA Summary Nominal'!G22/'BCA Summary Discounted'!$B22</f>
        <v>3425236.8979627788</v>
      </c>
      <c r="I22" s="219">
        <f>'BCA Summary Nominal'!H22/'BCA Summary Discounted'!$B22</f>
        <v>10062112.102620838</v>
      </c>
      <c r="J22" s="219">
        <f>'BCA Summary Nominal'!I22/'BCA Summary Discounted'!$B22</f>
        <v>-882524.76007409801</v>
      </c>
      <c r="K22" s="219">
        <f>'BCA Summary Nominal'!J22/'BCA Summary Discounted'!$B22</f>
        <v>9179587.3425467387</v>
      </c>
      <c r="L22" s="220">
        <f>-'Emissions Costs'!W86</f>
        <v>27521.208796215738</v>
      </c>
      <c r="M22" s="221">
        <f>'BCA Summary Nominal'!L22/'BCA Summary Discounted'!$B22</f>
        <v>5242129.8329627728</v>
      </c>
      <c r="N22" s="221">
        <f>'BCA Summary Nominal'!M22/'BCA Summary Discounted'!$B22</f>
        <v>190129.06129916792</v>
      </c>
      <c r="O22" s="222">
        <f>'BCA Summary Nominal'!N22/'BCA Summary Discounted'!$B22</f>
        <v>5432258.8942619404</v>
      </c>
      <c r="P22" s="218">
        <v>0</v>
      </c>
      <c r="Q22" s="312">
        <f t="shared" si="1"/>
        <v>18064604.343567673</v>
      </c>
      <c r="S22" s="114"/>
    </row>
    <row r="23" spans="1:19">
      <c r="A23" s="145">
        <v>2041</v>
      </c>
      <c r="B23" s="149">
        <v>4.1405623748602176</v>
      </c>
      <c r="C23" s="216">
        <v>0</v>
      </c>
      <c r="D23" s="216">
        <f>'BCA Summary Nominal'!C23/'BCA Summary Discounted'!$B23</f>
        <v>-120756.54337096652</v>
      </c>
      <c r="E23" s="216">
        <f>'BCA Summary Nominal'!D23/'BCA Summary Discounted'!$B23</f>
        <v>0</v>
      </c>
      <c r="F23" s="221">
        <f>'BCA Summary Nominal'!E23/'BCA Summary Discounted'!$B23</f>
        <v>4159382.7975033834</v>
      </c>
      <c r="G23" s="221">
        <f>'BCA Summary Nominal'!F23/'BCA Summary Discounted'!$B23</f>
        <v>-862617.40033246821</v>
      </c>
      <c r="H23" s="222">
        <f>'BCA Summary Nominal'!G23/'BCA Summary Discounted'!$B23</f>
        <v>3296765.3971709153</v>
      </c>
      <c r="I23" s="219">
        <f>'BCA Summary Nominal'!H23/'BCA Summary Discounted'!$B23</f>
        <v>9798195.1904460825</v>
      </c>
      <c r="J23" s="219">
        <f>'BCA Summary Nominal'!I23/'BCA Summary Discounted'!$B23</f>
        <v>-845805.27835902572</v>
      </c>
      <c r="K23" s="219">
        <f>'BCA Summary Nominal'!J23/'BCA Summary Discounted'!$B23</f>
        <v>8952389.9120870568</v>
      </c>
      <c r="L23" s="220">
        <f>-'Emissions Costs'!W87</f>
        <v>27671.978623644623</v>
      </c>
      <c r="M23" s="221">
        <f>'BCA Summary Nominal'!L23/'BCA Summary Discounted'!$B23</f>
        <v>5035844.7307865992</v>
      </c>
      <c r="N23" s="221">
        <f>'BCA Summary Nominal'!M23/'BCA Summary Discounted'!$B23</f>
        <v>182647.218215058</v>
      </c>
      <c r="O23" s="222">
        <f>'BCA Summary Nominal'!N23/'BCA Summary Discounted'!$B23</f>
        <v>5218491.9490016568</v>
      </c>
      <c r="P23" s="218">
        <v>0</v>
      </c>
      <c r="Q23" s="312">
        <f t="shared" si="1"/>
        <v>17495319.236883275</v>
      </c>
      <c r="S23" s="114"/>
    </row>
    <row r="24" spans="1:19">
      <c r="A24" s="145">
        <v>2042</v>
      </c>
      <c r="B24" s="149">
        <v>4.4304017411004333</v>
      </c>
      <c r="C24" s="216">
        <v>0</v>
      </c>
      <c r="D24" s="216">
        <f>'BCA Summary Nominal'!C24/'BCA Summary Discounted'!$B24</f>
        <v>-112856.58258968832</v>
      </c>
      <c r="E24" s="216">
        <f>'BCA Summary Nominal'!D24/'BCA Summary Discounted'!$B24</f>
        <v>0</v>
      </c>
      <c r="F24" s="221">
        <f>'BCA Summary Nominal'!E24/'BCA Summary Discounted'!$B24</f>
        <v>3988075.5001798961</v>
      </c>
      <c r="G24" s="221">
        <f>'BCA Summary Nominal'!F24/'BCA Summary Discounted'!$B24</f>
        <v>-817126.88385069731</v>
      </c>
      <c r="H24" s="222">
        <f>'BCA Summary Nominal'!G24/'BCA Summary Discounted'!$B24</f>
        <v>3170948.6163291987</v>
      </c>
      <c r="I24" s="219">
        <f>'BCA Summary Nominal'!H24/'BCA Summary Discounted'!$B24</f>
        <v>9529684.8895903211</v>
      </c>
      <c r="J24" s="219">
        <f>'BCA Summary Nominal'!I24/'BCA Summary Discounted'!$B24</f>
        <v>-810358.49082978989</v>
      </c>
      <c r="K24" s="219">
        <f>'BCA Summary Nominal'!J24/'BCA Summary Discounted'!$B24</f>
        <v>8719326.3987605311</v>
      </c>
      <c r="L24" s="220">
        <f>-'Emissions Costs'!W88</f>
        <v>27789.039731749159</v>
      </c>
      <c r="M24" s="221">
        <f>'BCA Summary Nominal'!L24/'BCA Summary Discounted'!$B24</f>
        <v>4834850.7331966115</v>
      </c>
      <c r="N24" s="221">
        <f>'BCA Summary Nominal'!M24/'BCA Summary Discounted'!$B24</f>
        <v>175357.28047863359</v>
      </c>
      <c r="O24" s="222">
        <f>'BCA Summary Nominal'!N24/'BCA Summary Discounted'!$B24</f>
        <v>5010208.0136752455</v>
      </c>
      <c r="P24" s="218">
        <v>0</v>
      </c>
      <c r="Q24" s="312">
        <f t="shared" si="1"/>
        <v>16928272.068496723</v>
      </c>
      <c r="S24" s="114"/>
    </row>
    <row r="25" spans="1:19">
      <c r="A25" s="145">
        <v>2043</v>
      </c>
      <c r="B25" s="149">
        <v>4.7405298629774641</v>
      </c>
      <c r="C25" s="216">
        <v>0</v>
      </c>
      <c r="D25" s="216">
        <f>'BCA Summary Nominal'!C25/'BCA Summary Discounted'!$B25</f>
        <v>-105473.4416726059</v>
      </c>
      <c r="E25" s="216">
        <f>'BCA Summary Nominal'!D25/'BCA Summary Discounted'!$B25</f>
        <v>0</v>
      </c>
      <c r="F25" s="221">
        <f>'BCA Summary Nominal'!E25/'BCA Summary Discounted'!$B25</f>
        <v>3821931.6559963119</v>
      </c>
      <c r="G25" s="221">
        <f>'BCA Summary Nominal'!F25/'BCA Summary Discounted'!$B25</f>
        <v>-773973.61626296979</v>
      </c>
      <c r="H25" s="222">
        <f>'BCA Summary Nominal'!G25/'BCA Summary Discounted'!$B25</f>
        <v>3047958.0397333424</v>
      </c>
      <c r="I25" s="219">
        <f>'BCA Summary Nominal'!H25/'BCA Summary Discounted'!$B25</f>
        <v>9258084.9010247346</v>
      </c>
      <c r="J25" s="219">
        <f>'BCA Summary Nominal'!I25/'BCA Summary Discounted'!$B25</f>
        <v>-776161.34704705351</v>
      </c>
      <c r="K25" s="219">
        <f>'BCA Summary Nominal'!J25/'BCA Summary Discounted'!$B25</f>
        <v>8481923.5539776813</v>
      </c>
      <c r="L25" s="220">
        <f>-'Emissions Costs'!W89</f>
        <v>28243.463419700358</v>
      </c>
      <c r="M25" s="221">
        <f>'BCA Summary Nominal'!L25/'BCA Summary Discounted'!$B25</f>
        <v>4639293.3181025973</v>
      </c>
      <c r="N25" s="221">
        <f>'BCA Summary Nominal'!M25/'BCA Summary Discounted'!$B25</f>
        <v>168264.5244907678</v>
      </c>
      <c r="O25" s="222">
        <f>'BCA Summary Nominal'!N25/'BCA Summary Discounted'!$B25</f>
        <v>4807557.8425933653</v>
      </c>
      <c r="P25" s="218">
        <v>0</v>
      </c>
      <c r="Q25" s="312">
        <f t="shared" si="1"/>
        <v>16365682.899724089</v>
      </c>
      <c r="S25" s="114"/>
    </row>
    <row r="26" spans="1:19">
      <c r="A26" s="145">
        <v>2044</v>
      </c>
      <c r="B26" s="149">
        <v>5.0723669533858873</v>
      </c>
      <c r="C26" s="216">
        <v>0</v>
      </c>
      <c r="D26" s="216">
        <f>'BCA Summary Nominal'!C26/'BCA Summary Discounted'!$B26</f>
        <v>-98573.309974398027</v>
      </c>
      <c r="E26" s="216">
        <f>'BCA Summary Nominal'!D26/'BCA Summary Discounted'!$B26</f>
        <v>0</v>
      </c>
      <c r="F26" s="221">
        <f>'BCA Summary Nominal'!E26/'BCA Summary Discounted'!$B26</f>
        <v>3660975.1507307682</v>
      </c>
      <c r="G26" s="221">
        <f>'BCA Summary Nominal'!F26/'BCA Summary Discounted'!$B26</f>
        <v>-733041.89471399831</v>
      </c>
      <c r="H26" s="222">
        <f>'BCA Summary Nominal'!G26/'BCA Summary Discounted'!$B26</f>
        <v>2927933.2560167699</v>
      </c>
      <c r="I26" s="219">
        <f>'BCA Summary Nominal'!H26/'BCA Summary Discounted'!$B26</f>
        <v>8984734.8739210516</v>
      </c>
      <c r="J26" s="219">
        <f>'BCA Summary Nominal'!I26/'BCA Summary Discounted'!$B26</f>
        <v>-743189.12675864156</v>
      </c>
      <c r="K26" s="219">
        <f>'BCA Summary Nominal'!J26/'BCA Summary Discounted'!$B26</f>
        <v>8241545.7471624101</v>
      </c>
      <c r="L26" s="220">
        <f>-'Emissions Costs'!W90</f>
        <v>28294.544214738678</v>
      </c>
      <c r="M26" s="221">
        <f>'BCA Summary Nominal'!L26/'BCA Summary Discounted'!$B26</f>
        <v>4449279.045368799</v>
      </c>
      <c r="N26" s="221">
        <f>'BCA Summary Nominal'!M26/'BCA Summary Discounted'!$B26</f>
        <v>161372.81511700311</v>
      </c>
      <c r="O26" s="222">
        <f>'BCA Summary Nominal'!N26/'BCA Summary Discounted'!$B26</f>
        <v>4610651.8604858024</v>
      </c>
      <c r="P26" s="218">
        <v>0</v>
      </c>
      <c r="Q26" s="312">
        <f t="shared" si="1"/>
        <v>15808425.407879721</v>
      </c>
      <c r="S26" s="114"/>
    </row>
    <row r="27" spans="1:19">
      <c r="A27" s="145">
        <v>2045</v>
      </c>
      <c r="B27" s="149">
        <v>5.4274326401229001</v>
      </c>
      <c r="C27" s="216">
        <v>0</v>
      </c>
      <c r="D27" s="216">
        <f>'BCA Summary Nominal'!C27/'BCA Summary Discounted'!$B27</f>
        <v>-92124.588761119638</v>
      </c>
      <c r="E27" s="216">
        <f>'BCA Summary Nominal'!D27/'BCA Summary Discounted'!$B27</f>
        <v>0</v>
      </c>
      <c r="F27" s="221">
        <f>'BCA Summary Nominal'!E27/'BCA Summary Discounted'!$B27</f>
        <v>3505206.7054220475</v>
      </c>
      <c r="G27" s="221">
        <f>'BCA Summary Nominal'!F27/'BCA Summary Discounted'!$B27</f>
        <v>-694221.42469454417</v>
      </c>
      <c r="H27" s="222">
        <f>'BCA Summary Nominal'!G27/'BCA Summary Discounted'!$B27</f>
        <v>2810985.2807275034</v>
      </c>
      <c r="I27" s="219">
        <f>'BCA Summary Nominal'!H27/'BCA Summary Discounted'!$B27</f>
        <v>8710824.6871948298</v>
      </c>
      <c r="J27" s="219">
        <f>'BCA Summary Nominal'!I27/'BCA Summary Discounted'!$B27</f>
        <v>-711415.71481122158</v>
      </c>
      <c r="K27" s="219">
        <f>'BCA Summary Nominal'!J27/'BCA Summary Discounted'!$B27</f>
        <v>7999408.9723836081</v>
      </c>
      <c r="L27" s="220">
        <f>-'Emissions Costs'!W91</f>
        <v>28317.38430235249</v>
      </c>
      <c r="M27" s="221">
        <f>'BCA Summary Nominal'!L27/'BCA Summary Discounted'!$B27</f>
        <v>4264879.8572564032</v>
      </c>
      <c r="N27" s="221">
        <f>'BCA Summary Nominal'!M27/'BCA Summary Discounted'!$B27</f>
        <v>154684.76166214934</v>
      </c>
      <c r="O27" s="222">
        <f>'BCA Summary Nominal'!N27/'BCA Summary Discounted'!$B27</f>
        <v>4419564.6189185521</v>
      </c>
      <c r="P27" s="218">
        <v>0</v>
      </c>
      <c r="Q27" s="312">
        <f t="shared" si="1"/>
        <v>15258276.256332014</v>
      </c>
      <c r="S27" s="114"/>
    </row>
    <row r="28" spans="1:19">
      <c r="A28" s="145">
        <v>2046</v>
      </c>
      <c r="B28" s="149">
        <v>5.8073529249315037</v>
      </c>
      <c r="C28" s="216">
        <v>0</v>
      </c>
      <c r="D28" s="216">
        <f>'BCA Summary Nominal'!C28/'BCA Summary Discounted'!$B28</f>
        <v>-86097.746505719275</v>
      </c>
      <c r="E28" s="216">
        <f>'BCA Summary Nominal'!D28/'BCA Summary Discounted'!$B28</f>
        <v>0</v>
      </c>
      <c r="F28" s="221">
        <f>'BCA Summary Nominal'!E28/'BCA Summary Discounted'!$B28</f>
        <v>3354606.6792381406</v>
      </c>
      <c r="G28" s="221">
        <f>'BCA Summary Nominal'!F28/'BCA Summary Discounted'!$B28</f>
        <v>-657407.09139696811</v>
      </c>
      <c r="H28" s="222">
        <f>'BCA Summary Nominal'!G28/'BCA Summary Discounted'!$B28</f>
        <v>2697199.5878411722</v>
      </c>
      <c r="I28" s="219">
        <f>'BCA Summary Nominal'!H28/'BCA Summary Discounted'!$B28</f>
        <v>8437407.6073279567</v>
      </c>
      <c r="J28" s="219">
        <f>'BCA Summary Nominal'!I28/'BCA Summary Discounted'!$B28</f>
        <v>-680813.84957310802</v>
      </c>
      <c r="K28" s="219">
        <f>'BCA Summary Nominal'!J28/'BCA Summary Discounted'!$B28</f>
        <v>7756593.7577548483</v>
      </c>
      <c r="L28" s="220">
        <f>-'Emissions Costs'!W92</f>
        <v>28313.659191306899</v>
      </c>
      <c r="M28" s="221">
        <f>'BCA Summary Nominal'!L28/'BCA Summary Discounted'!$B28</f>
        <v>4086136.9930910612</v>
      </c>
      <c r="N28" s="221">
        <f>'BCA Summary Nominal'!M28/'BCA Summary Discounted'!$B28</f>
        <v>148201.85985304372</v>
      </c>
      <c r="O28" s="222">
        <f>'BCA Summary Nominal'!N28/'BCA Summary Discounted'!$B28</f>
        <v>4234338.8529441049</v>
      </c>
      <c r="P28" s="218">
        <v>0</v>
      </c>
      <c r="Q28" s="312">
        <f t="shared" si="1"/>
        <v>14716445.857731432</v>
      </c>
      <c r="S28" s="114"/>
    </row>
    <row r="29" spans="1:19">
      <c r="A29" s="145">
        <v>2047</v>
      </c>
      <c r="B29" s="149">
        <v>6.2138676296767095</v>
      </c>
      <c r="C29" s="216">
        <v>0</v>
      </c>
      <c r="D29" s="216">
        <f>'BCA Summary Nominal'!C29/'BCA Summary Discounted'!$B29</f>
        <v>-80465.183650204926</v>
      </c>
      <c r="E29" s="216">
        <f>'BCA Summary Nominal'!D29/'BCA Summary Discounted'!$B29</f>
        <v>0</v>
      </c>
      <c r="F29" s="221">
        <f>'BCA Summary Nominal'!E29/'BCA Summary Discounted'!$B29</f>
        <v>3209137.6124379742</v>
      </c>
      <c r="G29" s="221">
        <f>'BCA Summary Nominal'!F29/'BCA Summary Discounted'!$B29</f>
        <v>-622498.73880151869</v>
      </c>
      <c r="H29" s="222">
        <f>'BCA Summary Nominal'!G29/'BCA Summary Discounted'!$B29</f>
        <v>2586638.8736364557</v>
      </c>
      <c r="I29" s="219">
        <f>'BCA Summary Nominal'!H29/'BCA Summary Discounted'!$B29</f>
        <v>8165412.4059366779</v>
      </c>
      <c r="J29" s="219">
        <f>'BCA Summary Nominal'!I29/'BCA Summary Discounted'!$B29</f>
        <v>-651355.34702907526</v>
      </c>
      <c r="K29" s="219">
        <f>'BCA Summary Nominal'!J29/'BCA Summary Discounted'!$B29</f>
        <v>7514057.058907602</v>
      </c>
      <c r="L29" s="220">
        <f>-'Emissions Costs'!W93</f>
        <v>28284.945786418844</v>
      </c>
      <c r="M29" s="221">
        <f>'BCA Summary Nominal'!L29/'BCA Summary Discounted'!$B29</f>
        <v>3913064.5495986301</v>
      </c>
      <c r="N29" s="221">
        <f>'BCA Summary Nominal'!M29/'BCA Summary Discounted'!$B29</f>
        <v>141924.6209698985</v>
      </c>
      <c r="O29" s="222">
        <f>'BCA Summary Nominal'!N29/'BCA Summary Discounted'!$B29</f>
        <v>4054989.1705685281</v>
      </c>
      <c r="P29" s="218">
        <v>0</v>
      </c>
      <c r="Q29" s="312">
        <f t="shared" si="1"/>
        <v>14183970.048899004</v>
      </c>
      <c r="S29" s="114"/>
    </row>
    <row r="30" spans="1:19">
      <c r="A30" s="145">
        <v>2048</v>
      </c>
      <c r="B30" s="149">
        <v>6.6488383637540798</v>
      </c>
      <c r="C30" s="216">
        <v>0</v>
      </c>
      <c r="D30" s="216">
        <f>'BCA Summary Nominal'!C30/'BCA Summary Discounted'!$B30</f>
        <v>-75201.106215144784</v>
      </c>
      <c r="E30" s="216">
        <f>'BCA Summary Nominal'!D30/'BCA Summary Discounted'!$B30</f>
        <v>0</v>
      </c>
      <c r="F30" s="221">
        <f>'BCA Summary Nominal'!E30/'BCA Summary Discounted'!$B30</f>
        <v>3068746.5309677147</v>
      </c>
      <c r="G30" s="221">
        <f>'BCA Summary Nominal'!F30/'BCA Summary Discounted'!$B30</f>
        <v>-589400.95640353393</v>
      </c>
      <c r="H30" s="222">
        <f>'BCA Summary Nominal'!G30/'BCA Summary Discounted'!$B30</f>
        <v>2479345.5745641808</v>
      </c>
      <c r="I30" s="219">
        <f>'BCA Summary Nominal'!H30/'BCA Summary Discounted'!$B30</f>
        <v>7895654.5145783285</v>
      </c>
      <c r="J30" s="219">
        <f>'BCA Summary Nominal'!I30/'BCA Summary Discounted'!$B30</f>
        <v>-623011.30254506308</v>
      </c>
      <c r="K30" s="219">
        <f>'BCA Summary Nominal'!J30/'BCA Summary Discounted'!$B30</f>
        <v>7272643.2120332653</v>
      </c>
      <c r="L30" s="220">
        <f>-'Emissions Costs'!W94</f>
        <v>28815.03564041989</v>
      </c>
      <c r="M30" s="221">
        <f>'BCA Summary Nominal'!L30/'BCA Summary Discounted'!$B30</f>
        <v>3745652.7159165447</v>
      </c>
      <c r="N30" s="221">
        <f>'BCA Summary Nominal'!M30/'BCA Summary Discounted'!$B30</f>
        <v>135852.68917832029</v>
      </c>
      <c r="O30" s="222">
        <f>'BCA Summary Nominal'!N30/'BCA Summary Discounted'!$B30</f>
        <v>3881505.4050948648</v>
      </c>
      <c r="P30" s="218">
        <v>0</v>
      </c>
      <c r="Q30" s="312">
        <f t="shared" si="1"/>
        <v>13662309.22733273</v>
      </c>
      <c r="S30" s="114"/>
    </row>
    <row r="31" spans="1:19">
      <c r="A31" s="225">
        <v>2049</v>
      </c>
      <c r="B31" s="149">
        <v>7.1142570492168655</v>
      </c>
      <c r="C31" s="216">
        <v>0</v>
      </c>
      <c r="D31" s="216">
        <f>'BCA Summary Nominal'!C31/'BCA Summary Discounted'!$B31</f>
        <v>-70281.4076777054</v>
      </c>
      <c r="E31" s="216">
        <f>'BCA Summary Nominal'!D31/'BCA Summary Discounted'!$B31</f>
        <v>0</v>
      </c>
      <c r="F31" s="221">
        <f>'BCA Summary Nominal'!E31/'BCA Summary Discounted'!$B31</f>
        <v>2933367.0325544169</v>
      </c>
      <c r="G31" s="221">
        <f>'BCA Summary Nominal'!F31/'BCA Summary Discounted'!$B31</f>
        <v>-558022.87347357941</v>
      </c>
      <c r="H31" s="222">
        <f>'BCA Summary Nominal'!G31/'BCA Summary Discounted'!$B31</f>
        <v>2375344.1590808374</v>
      </c>
      <c r="I31" s="219">
        <f>'BCA Summary Nominal'!H31/'BCA Summary Discounted'!$B31</f>
        <v>7628846.2887298232</v>
      </c>
      <c r="J31" s="219">
        <f>'BCA Summary Nominal'!I31/'BCA Summary Discounted'!$B31</f>
        <v>-595752.27215097949</v>
      </c>
      <c r="K31" s="219">
        <f>'BCA Summary Nominal'!J31/'BCA Summary Discounted'!$B31</f>
        <v>7033094.0165788438</v>
      </c>
      <c r="L31" s="220">
        <f>-'Emissions Costs'!W95</f>
        <v>28735.057007249998</v>
      </c>
      <c r="M31" s="221">
        <f>'BCA Summary Nominal'!L31/'BCA Summary Discounted'!$B31</f>
        <v>3583870.7100555315</v>
      </c>
      <c r="N31" s="221">
        <f>'BCA Summary Nominal'!M31/'BCA Summary Discounted'!$B31</f>
        <v>129984.94803310218</v>
      </c>
      <c r="O31" s="222">
        <f>'BCA Summary Nominal'!N31/'BCA Summary Discounted'!$B31</f>
        <v>3713855.6580886333</v>
      </c>
      <c r="P31" s="218">
        <v>0</v>
      </c>
      <c r="Q31" s="312">
        <f t="shared" si="1"/>
        <v>13151028.890755564</v>
      </c>
      <c r="S31" s="114"/>
    </row>
    <row r="32" spans="1:19">
      <c r="A32" s="225">
        <v>2050</v>
      </c>
      <c r="B32" s="149">
        <v>7.6122550426620466</v>
      </c>
      <c r="C32" s="216">
        <v>0</v>
      </c>
      <c r="D32" s="216">
        <f>'BCA Summary Nominal'!C32/'BCA Summary Discounted'!$B32</f>
        <v>-65683.558577294767</v>
      </c>
      <c r="E32" s="216">
        <f>'BCA Summary Nominal'!D32/'BCA Summary Discounted'!$B32</f>
        <v>0</v>
      </c>
      <c r="F32" s="221">
        <f>'BCA Summary Nominal'!E32/'BCA Summary Discounted'!$B32</f>
        <v>2802921.1726119472</v>
      </c>
      <c r="G32" s="221">
        <f>'BCA Summary Nominal'!F32/'BCA Summary Discounted'!$B32</f>
        <v>-528277.96072674403</v>
      </c>
      <c r="H32" s="222">
        <f>'BCA Summary Nominal'!G32/'BCA Summary Discounted'!$B32</f>
        <v>2274643.2118852036</v>
      </c>
      <c r="I32" s="219">
        <f>'BCA Summary Nominal'!H32/'BCA Summary Discounted'!$B32</f>
        <v>7365606.4477090472</v>
      </c>
      <c r="J32" s="219">
        <f>'BCA Summary Nominal'!I32/'BCA Summary Discounted'!$B32</f>
        <v>-569548.43504906667</v>
      </c>
      <c r="K32" s="219">
        <f>'BCA Summary Nominal'!J32/'BCA Summary Discounted'!$B32</f>
        <v>6796058.0126599809</v>
      </c>
      <c r="L32" s="220">
        <f>-'Emissions Costs'!W96</f>
        <v>28042.819662685764</v>
      </c>
      <c r="M32" s="221">
        <f>'BCA Summary Nominal'!L32/'BCA Summary Discounted'!$B32</f>
        <v>3427669.4415055015</v>
      </c>
      <c r="N32" s="221">
        <f>'BCA Summary Nominal'!M32/'BCA Summary Discounted'!$B32</f>
        <v>124319.61704942233</v>
      </c>
      <c r="O32" s="222">
        <f>'BCA Summary Nominal'!N32/'BCA Summary Discounted'!$B32</f>
        <v>3551989.0585549236</v>
      </c>
      <c r="P32" s="218">
        <v>0</v>
      </c>
      <c r="Q32" s="312">
        <f t="shared" si="1"/>
        <v>12650733.102762794</v>
      </c>
      <c r="S32" s="114"/>
    </row>
    <row r="33" spans="1:19">
      <c r="A33" s="225">
        <v>2051</v>
      </c>
      <c r="B33" s="149">
        <v>8.1451128956483902</v>
      </c>
      <c r="C33" s="216">
        <v>0</v>
      </c>
      <c r="D33" s="216">
        <f>'BCA Summary Nominal'!C33/'BCA Summary Discounted'!$B33</f>
        <v>-61386.503343266129</v>
      </c>
      <c r="E33" s="216">
        <f>'BCA Summary Nominal'!D33/'BCA Summary Discounted'!$B33</f>
        <v>0</v>
      </c>
      <c r="F33" s="221">
        <f>'BCA Summary Nominal'!E33/'BCA Summary Discounted'!$B33</f>
        <v>2619552.4977681749</v>
      </c>
      <c r="G33" s="221">
        <f>'BCA Summary Nominal'!F33/'BCA Summary Discounted'!$B33</f>
        <v>-493717.72030536819</v>
      </c>
      <c r="H33" s="222">
        <f>'BCA Summary Nominal'!G33/'BCA Summary Discounted'!$B33</f>
        <v>2125834.777462807</v>
      </c>
      <c r="I33" s="219">
        <f>'BCA Summary Nominal'!H33/'BCA Summary Discounted'!$B33</f>
        <v>6883744.3436533147</v>
      </c>
      <c r="J33" s="219">
        <f>'BCA Summary Nominal'!I33/'BCA Summary Discounted'!$B33</f>
        <v>-532288.25705520238</v>
      </c>
      <c r="K33" s="219">
        <f>'BCA Summary Nominal'!J33/'BCA Summary Discounted'!$B33</f>
        <v>6351456.0865981122</v>
      </c>
      <c r="L33" s="220">
        <f>-'Emissions Costs'!W97</f>
        <v>27687.959572566928</v>
      </c>
      <c r="M33" s="221">
        <f>'BCA Summary Nominal'!L33/'BCA Summary Discounted'!$B33</f>
        <v>3203429.3845845805</v>
      </c>
      <c r="N33" s="221">
        <f>'BCA Summary Nominal'!M33/'BCA Summary Discounted'!$B33</f>
        <v>116186.55799011434</v>
      </c>
      <c r="O33" s="222">
        <f>'BCA Summary Nominal'!N33/'BCA Summary Discounted'!$B33</f>
        <v>3319615.9425746948</v>
      </c>
      <c r="P33" s="218">
        <v>0</v>
      </c>
      <c r="Q33" s="312">
        <f t="shared" si="1"/>
        <v>11824594.766208181</v>
      </c>
      <c r="S33" s="114"/>
    </row>
    <row r="34" spans="1:19">
      <c r="A34" s="225">
        <v>2052</v>
      </c>
      <c r="B34" s="149">
        <v>8.7152707983437789</v>
      </c>
      <c r="C34" s="216">
        <v>0</v>
      </c>
      <c r="D34" s="216">
        <f>'BCA Summary Nominal'!C34/'BCA Summary Discounted'!$B34</f>
        <v>-57370.563872211329</v>
      </c>
      <c r="E34" s="216">
        <f>'BCA Summary Nominal'!D34/'BCA Summary Discounted'!$B34</f>
        <v>0</v>
      </c>
      <c r="F34" s="221">
        <f>'BCA Summary Nominal'!E34/'BCA Summary Discounted'!$B34</f>
        <v>2448179.9044562378</v>
      </c>
      <c r="G34" s="221">
        <f>'BCA Summary Nominal'!F34/'BCA Summary Discounted'!$B34</f>
        <v>-461418.43019193283</v>
      </c>
      <c r="H34" s="222">
        <f>'BCA Summary Nominal'!G34/'BCA Summary Discounted'!$B34</f>
        <v>1986761.4742643051</v>
      </c>
      <c r="I34" s="219">
        <f>'BCA Summary Nominal'!H34/'BCA Summary Discounted'!$B34</f>
        <v>6433405.9286479568</v>
      </c>
      <c r="J34" s="219">
        <f>'BCA Summary Nominal'!I34/'BCA Summary Discounted'!$B34</f>
        <v>-497465.66079925455</v>
      </c>
      <c r="K34" s="219">
        <f>'BCA Summary Nominal'!J34/'BCA Summary Discounted'!$B34</f>
        <v>5935940.2678487021</v>
      </c>
      <c r="L34" s="220">
        <f>-'Emissions Costs'!W98</f>
        <v>26570.343151471036</v>
      </c>
      <c r="M34" s="221">
        <f>'BCA Summary Nominal'!L34/'BCA Summary Discounted'!$B34</f>
        <v>2993859.2379295141</v>
      </c>
      <c r="N34" s="221">
        <f>'BCA Summary Nominal'!M34/'BCA Summary Discounted'!$B34</f>
        <v>108585.56821506011</v>
      </c>
      <c r="O34" s="222">
        <f>'BCA Summary Nominal'!N34/'BCA Summary Discounted'!$B34</f>
        <v>3102444.8061445742</v>
      </c>
      <c r="P34" s="218">
        <v>0</v>
      </c>
      <c r="Q34" s="312">
        <f t="shared" si="1"/>
        <v>11051716.891409053</v>
      </c>
      <c r="S34" s="114"/>
    </row>
    <row r="35" spans="1:19">
      <c r="A35" s="225">
        <v>2053</v>
      </c>
      <c r="B35" s="149">
        <v>9.3253397542278442</v>
      </c>
      <c r="C35" s="216">
        <v>0</v>
      </c>
      <c r="D35" s="216">
        <f>'BCA Summary Nominal'!C35/'BCA Summary Discounted'!$B35</f>
        <v>-53617.349413281612</v>
      </c>
      <c r="E35" s="216">
        <f>'BCA Summary Nominal'!D35/'BCA Summary Discounted'!$B35</f>
        <v>14206452.900543096</v>
      </c>
      <c r="F35" s="221">
        <f>'BCA Summary Nominal'!E35/'BCA Summary Discounted'!$B35</f>
        <v>2288018.6022955491</v>
      </c>
      <c r="G35" s="221">
        <f>'BCA Summary Nominal'!F35/'BCA Summary Discounted'!$B35</f>
        <v>-431232.17774946988</v>
      </c>
      <c r="H35" s="222">
        <f>'BCA Summary Nominal'!G35/'BCA Summary Discounted'!$B35</f>
        <v>1856786.4245460795</v>
      </c>
      <c r="I35" s="219">
        <f>'BCA Summary Nominal'!H35/'BCA Summary Discounted'!$B35</f>
        <v>6012528.9052784638</v>
      </c>
      <c r="J35" s="219">
        <f>'BCA Summary Nominal'!I35/'BCA Summary Discounted'!$B35</f>
        <v>-464921.17831706029</v>
      </c>
      <c r="K35" s="219">
        <f>'BCA Summary Nominal'!J35/'BCA Summary Discounted'!$B35</f>
        <v>5547607.7269614041</v>
      </c>
      <c r="L35" s="220">
        <f>-'Emissions Costs'!W99</f>
        <v>25497.441524348465</v>
      </c>
      <c r="M35" s="221">
        <f>'BCA Summary Nominal'!L35/'BCA Summary Discounted'!$B35</f>
        <v>2797999.2877845922</v>
      </c>
      <c r="N35" s="221">
        <f>'BCA Summary Nominal'!M35/'BCA Summary Discounted'!$B35</f>
        <v>101481.83945332719</v>
      </c>
      <c r="O35" s="222">
        <f>'BCA Summary Nominal'!N35/'BCA Summary Discounted'!$B35</f>
        <v>2899481.1272379197</v>
      </c>
      <c r="P35" s="218">
        <v>0</v>
      </c>
      <c r="Q35" s="312">
        <f t="shared" si="1"/>
        <v>10329372.720269751</v>
      </c>
      <c r="S35" s="114"/>
    </row>
    <row r="36" spans="1:19" s="182" customFormat="1">
      <c r="A36" s="147" t="s">
        <v>6</v>
      </c>
      <c r="B36" s="183"/>
      <c r="C36" s="216">
        <f t="shared" ref="C36:Q36" si="2">SUM(C6:C35)</f>
        <v>205653467.07337976</v>
      </c>
      <c r="D36" s="216">
        <f t="shared" si="2"/>
        <v>-3993625.1784996311</v>
      </c>
      <c r="E36" s="216">
        <f t="shared" si="2"/>
        <v>14206452.900543096</v>
      </c>
      <c r="F36" s="216">
        <f t="shared" si="2"/>
        <v>120613353.35458024</v>
      </c>
      <c r="G36" s="216">
        <f t="shared" si="2"/>
        <v>-26713484.503552094</v>
      </c>
      <c r="H36" s="216">
        <f t="shared" si="2"/>
        <v>93899868.851028159</v>
      </c>
      <c r="I36" s="216">
        <f t="shared" si="2"/>
        <v>263813931.83634484</v>
      </c>
      <c r="J36" s="216">
        <f t="shared" si="2"/>
        <v>-24802833.782548733</v>
      </c>
      <c r="K36" s="216">
        <f t="shared" si="2"/>
        <v>239011098.05379608</v>
      </c>
      <c r="L36" s="216">
        <f t="shared" si="2"/>
        <v>696394.59672570764</v>
      </c>
      <c r="M36" s="216">
        <f t="shared" si="2"/>
        <v>144935368.4297682</v>
      </c>
      <c r="N36" s="216">
        <f t="shared" si="2"/>
        <v>5256723.2072972916</v>
      </c>
      <c r="O36" s="216">
        <f t="shared" si="2"/>
        <v>150192091.63706544</v>
      </c>
      <c r="P36" s="216">
        <f t="shared" si="2"/>
        <v>205653467.07337976</v>
      </c>
      <c r="Q36" s="216">
        <f t="shared" si="2"/>
        <v>483799453.13861543</v>
      </c>
      <c r="S36" s="114"/>
    </row>
    <row r="38" spans="1:19">
      <c r="A38" s="97">
        <f>COUNTA(A6:A35)</f>
        <v>30</v>
      </c>
      <c r="Q38" s="148"/>
    </row>
    <row r="39" spans="1:19">
      <c r="D39" s="148"/>
    </row>
    <row r="43" spans="1:19">
      <c r="A43"/>
      <c r="B43"/>
    </row>
    <row r="44" spans="1:19">
      <c r="A44"/>
      <c r="B44"/>
    </row>
    <row r="45" spans="1:19">
      <c r="A45"/>
      <c r="B45"/>
    </row>
    <row r="46" spans="1:19">
      <c r="A46"/>
      <c r="B46"/>
    </row>
    <row r="47" spans="1:19">
      <c r="A47"/>
      <c r="B47"/>
    </row>
    <row r="48" spans="1:19">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sheetData>
  <mergeCells count="5">
    <mergeCell ref="F4:H4"/>
    <mergeCell ref="M4:O4"/>
    <mergeCell ref="A4:A5"/>
    <mergeCell ref="C4:E4"/>
    <mergeCell ref="I4:K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2:H70"/>
  <sheetViews>
    <sheetView topLeftCell="A10" workbookViewId="0">
      <selection activeCell="A41" sqref="A41:A70"/>
    </sheetView>
  </sheetViews>
  <sheetFormatPr defaultRowHeight="14.4"/>
  <cols>
    <col min="1" max="1" width="5" bestFit="1" customWidth="1"/>
    <col min="2" max="2" width="16.109375" customWidth="1"/>
    <col min="3" max="3" width="15.33203125" style="136" bestFit="1" customWidth="1"/>
    <col min="4" max="4" width="22.88671875" bestFit="1" customWidth="1"/>
    <col min="5" max="5" width="25.6640625" bestFit="1" customWidth="1"/>
    <col min="6" max="6" width="11.109375" customWidth="1"/>
    <col min="7" max="7" width="10.88671875" customWidth="1"/>
    <col min="8" max="8" width="15.6640625" customWidth="1"/>
  </cols>
  <sheetData>
    <row r="2" spans="1:8" ht="22.8">
      <c r="A2" s="189" t="str">
        <f>'Title Sheet'!$A$2</f>
        <v>Benefit-Cost Analysis Spreadsheet for the Illinois International Port - Calumet Bridges Rehabilitation Project</v>
      </c>
    </row>
    <row r="4" spans="1:8">
      <c r="D4" s="137" t="s">
        <v>113</v>
      </c>
      <c r="E4" s="137">
        <v>2044</v>
      </c>
    </row>
    <row r="6" spans="1:8">
      <c r="A6" s="138" t="s">
        <v>1</v>
      </c>
      <c r="B6" s="193" t="s">
        <v>114</v>
      </c>
      <c r="C6" s="194" t="s">
        <v>115</v>
      </c>
      <c r="D6" s="193" t="s">
        <v>116</v>
      </c>
      <c r="E6" s="193" t="s">
        <v>117</v>
      </c>
      <c r="F6" s="193" t="s">
        <v>118</v>
      </c>
      <c r="G6" s="193" t="s">
        <v>1</v>
      </c>
      <c r="H6" s="193" t="s">
        <v>168</v>
      </c>
    </row>
    <row r="7" spans="1:8">
      <c r="A7" s="138">
        <v>2024</v>
      </c>
      <c r="B7" s="198">
        <f>'BCA Summary Discounted'!P6</f>
        <v>73237940.356562406</v>
      </c>
      <c r="C7" s="198">
        <f>'BCA Summary Discounted'!Q6</f>
        <v>0</v>
      </c>
      <c r="D7" s="198">
        <f>B7</f>
        <v>73237940.356562406</v>
      </c>
      <c r="E7" s="196"/>
      <c r="F7" s="197"/>
      <c r="G7" s="193">
        <v>2024</v>
      </c>
      <c r="H7" s="195">
        <f>E7-D7</f>
        <v>-73237940.356562406</v>
      </c>
    </row>
    <row r="8" spans="1:8" ht="18">
      <c r="A8" s="138">
        <f>A7+1</f>
        <v>2025</v>
      </c>
      <c r="B8" s="198">
        <f>'BCA Summary Discounted'!P7</f>
        <v>68446673.230432153</v>
      </c>
      <c r="C8" s="198">
        <f>'BCA Summary Discounted'!Q7</f>
        <v>0</v>
      </c>
      <c r="D8" s="198">
        <f t="shared" ref="D8:D31" si="0">D7+B8</f>
        <v>141684613.58699456</v>
      </c>
      <c r="E8" s="198">
        <f>E7+C8</f>
        <v>0</v>
      </c>
      <c r="F8" s="199">
        <f t="shared" ref="F8:F25" si="1">IF(AND(D8&lt;E8, D7&gt;E7), "X", 0)</f>
        <v>0</v>
      </c>
      <c r="G8" s="193">
        <f>G7+1</f>
        <v>2025</v>
      </c>
      <c r="H8" s="195">
        <f>E8-D8</f>
        <v>-141684613.58699456</v>
      </c>
    </row>
    <row r="9" spans="1:8" ht="18">
      <c r="A9" s="138">
        <f t="shared" ref="A9:A36" si="2">A8+1</f>
        <v>2026</v>
      </c>
      <c r="B9" s="198">
        <f>'BCA Summary Discounted'!P8</f>
        <v>63968853.486385182</v>
      </c>
      <c r="C9" s="198">
        <f>'BCA Summary Discounted'!Q8</f>
        <v>0</v>
      </c>
      <c r="D9" s="198">
        <f t="shared" si="0"/>
        <v>205653467.07337976</v>
      </c>
      <c r="E9" s="198">
        <f>E8+C9</f>
        <v>0</v>
      </c>
      <c r="F9" s="199">
        <f t="shared" si="1"/>
        <v>0</v>
      </c>
      <c r="G9" s="193">
        <f t="shared" ref="G9:G36" si="3">G8+1</f>
        <v>2026</v>
      </c>
      <c r="H9" s="195">
        <f t="shared" ref="H9:H31" si="4">E9-D9</f>
        <v>-205653467.07337976</v>
      </c>
    </row>
    <row r="10" spans="1:8" ht="18">
      <c r="A10" s="138">
        <f t="shared" si="2"/>
        <v>2027</v>
      </c>
      <c r="B10" s="198">
        <f>'BCA Summary Discounted'!P9</f>
        <v>0</v>
      </c>
      <c r="C10" s="198">
        <f>'BCA Summary Discounted'!Q9</f>
        <v>24216744.97144356</v>
      </c>
      <c r="D10" s="198">
        <f t="shared" si="0"/>
        <v>205653467.07337976</v>
      </c>
      <c r="E10" s="198">
        <f t="shared" ref="E10:E31" si="5">E9+C10</f>
        <v>24216744.97144356</v>
      </c>
      <c r="F10" s="199">
        <f t="shared" si="1"/>
        <v>0</v>
      </c>
      <c r="G10" s="193">
        <f t="shared" si="3"/>
        <v>2027</v>
      </c>
      <c r="H10" s="195">
        <f t="shared" si="4"/>
        <v>-181436722.10193619</v>
      </c>
    </row>
    <row r="11" spans="1:8" ht="18">
      <c r="A11" s="138">
        <f t="shared" si="2"/>
        <v>2028</v>
      </c>
      <c r="B11" s="198">
        <f>'BCA Summary Discounted'!P10</f>
        <v>0</v>
      </c>
      <c r="C11" s="198">
        <f>'BCA Summary Discounted'!Q10</f>
        <v>23946968.797213256</v>
      </c>
      <c r="D11" s="198">
        <f t="shared" si="0"/>
        <v>205653467.07337976</v>
      </c>
      <c r="E11" s="198">
        <f t="shared" si="5"/>
        <v>48163713.76865682</v>
      </c>
      <c r="F11" s="199">
        <f t="shared" si="1"/>
        <v>0</v>
      </c>
      <c r="G11" s="193">
        <f t="shared" si="3"/>
        <v>2028</v>
      </c>
      <c r="H11" s="195">
        <f t="shared" si="4"/>
        <v>-157489753.30472293</v>
      </c>
    </row>
    <row r="12" spans="1:8" ht="18">
      <c r="A12" s="138">
        <f t="shared" si="2"/>
        <v>2029</v>
      </c>
      <c r="B12" s="198">
        <f>'BCA Summary Discounted'!P11</f>
        <v>0</v>
      </c>
      <c r="C12" s="198">
        <f>'BCA Summary Discounted'!Q11</f>
        <v>23626379.159551892</v>
      </c>
      <c r="D12" s="198">
        <f t="shared" si="0"/>
        <v>205653467.07337976</v>
      </c>
      <c r="E12" s="198">
        <f t="shared" si="5"/>
        <v>71790092.928208709</v>
      </c>
      <c r="F12" s="199">
        <f t="shared" si="1"/>
        <v>0</v>
      </c>
      <c r="G12" s="193">
        <f t="shared" si="3"/>
        <v>2029</v>
      </c>
      <c r="H12" s="195">
        <f t="shared" si="4"/>
        <v>-133863374.14517105</v>
      </c>
    </row>
    <row r="13" spans="1:8" ht="18">
      <c r="A13" s="138">
        <f t="shared" si="2"/>
        <v>2030</v>
      </c>
      <c r="B13" s="198">
        <f>'BCA Summary Discounted'!P12</f>
        <v>0</v>
      </c>
      <c r="C13" s="198">
        <f>'BCA Summary Discounted'!Q12</f>
        <v>23250258.83807309</v>
      </c>
      <c r="D13" s="198">
        <f t="shared" si="0"/>
        <v>205653467.07337976</v>
      </c>
      <c r="E13" s="198">
        <f t="shared" si="5"/>
        <v>95040351.766281798</v>
      </c>
      <c r="F13" s="199">
        <f t="shared" si="1"/>
        <v>0</v>
      </c>
      <c r="G13" s="193">
        <f t="shared" si="3"/>
        <v>2030</v>
      </c>
      <c r="H13" s="195">
        <f t="shared" si="4"/>
        <v>-110613115.30709796</v>
      </c>
    </row>
    <row r="14" spans="1:8" ht="18">
      <c r="A14" s="138">
        <f t="shared" si="2"/>
        <v>2031</v>
      </c>
      <c r="B14" s="198">
        <f>'BCA Summary Discounted'!P13</f>
        <v>0</v>
      </c>
      <c r="C14" s="198">
        <f>'BCA Summary Discounted'!Q13</f>
        <v>22832024.101111852</v>
      </c>
      <c r="D14" s="198">
        <f t="shared" si="0"/>
        <v>205653467.07337976</v>
      </c>
      <c r="E14" s="198">
        <f t="shared" si="5"/>
        <v>117872375.86739364</v>
      </c>
      <c r="F14" s="199">
        <f t="shared" si="1"/>
        <v>0</v>
      </c>
      <c r="G14" s="193">
        <f t="shared" si="3"/>
        <v>2031</v>
      </c>
      <c r="H14" s="195">
        <f t="shared" si="4"/>
        <v>-87781091.205986112</v>
      </c>
    </row>
    <row r="15" spans="1:8" ht="18">
      <c r="A15" s="138">
        <f t="shared" si="2"/>
        <v>2032</v>
      </c>
      <c r="B15" s="198">
        <f>'BCA Summary Discounted'!P14</f>
        <v>0</v>
      </c>
      <c r="C15" s="198">
        <f>'BCA Summary Discounted'!Q14</f>
        <v>22378197.43135798</v>
      </c>
      <c r="D15" s="198">
        <f t="shared" si="0"/>
        <v>205653467.07337976</v>
      </c>
      <c r="E15" s="198">
        <f t="shared" si="5"/>
        <v>140250573.29875162</v>
      </c>
      <c r="F15" s="199">
        <f t="shared" si="1"/>
        <v>0</v>
      </c>
      <c r="G15" s="193">
        <f t="shared" si="3"/>
        <v>2032</v>
      </c>
      <c r="H15" s="195">
        <f t="shared" si="4"/>
        <v>-65402893.774628133</v>
      </c>
    </row>
    <row r="16" spans="1:8" ht="18">
      <c r="A16" s="138">
        <f t="shared" si="2"/>
        <v>2033</v>
      </c>
      <c r="B16" s="198">
        <f>'BCA Summary Discounted'!P15</f>
        <v>0</v>
      </c>
      <c r="C16" s="198">
        <f>'BCA Summary Discounted'!Q15</f>
        <v>21894692.658477858</v>
      </c>
      <c r="D16" s="198">
        <f t="shared" si="0"/>
        <v>205653467.07337976</v>
      </c>
      <c r="E16" s="198">
        <f t="shared" si="5"/>
        <v>162145265.9572295</v>
      </c>
      <c r="F16" s="199">
        <f t="shared" si="1"/>
        <v>0</v>
      </c>
      <c r="G16" s="193">
        <f t="shared" si="3"/>
        <v>2033</v>
      </c>
      <c r="H16" s="195">
        <f t="shared" si="4"/>
        <v>-43508201.11615026</v>
      </c>
    </row>
    <row r="17" spans="1:8" ht="18">
      <c r="A17" s="138">
        <f t="shared" si="2"/>
        <v>2034</v>
      </c>
      <c r="B17" s="198">
        <f>'BCA Summary Discounted'!P16</f>
        <v>0</v>
      </c>
      <c r="C17" s="198">
        <f>'BCA Summary Discounted'!Q16</f>
        <v>21386833.20747751</v>
      </c>
      <c r="D17" s="198">
        <f t="shared" si="0"/>
        <v>205653467.07337976</v>
      </c>
      <c r="E17" s="198">
        <f t="shared" si="5"/>
        <v>183532099.16470701</v>
      </c>
      <c r="F17" s="199">
        <f t="shared" si="1"/>
        <v>0</v>
      </c>
      <c r="G17" s="193">
        <f t="shared" si="3"/>
        <v>2034</v>
      </c>
      <c r="H17" s="195">
        <f t="shared" si="4"/>
        <v>-22121367.90867275</v>
      </c>
    </row>
    <row r="18" spans="1:8" ht="18">
      <c r="A18" s="138">
        <f t="shared" si="2"/>
        <v>2035</v>
      </c>
      <c r="B18" s="198">
        <f>'BCA Summary Discounted'!P17</f>
        <v>0</v>
      </c>
      <c r="C18" s="198">
        <f>'BCA Summary Discounted'!Q17</f>
        <v>20860020.82220576</v>
      </c>
      <c r="D18" s="198">
        <f t="shared" si="0"/>
        <v>205653467.07337976</v>
      </c>
      <c r="E18" s="198">
        <f t="shared" si="5"/>
        <v>204392119.98691276</v>
      </c>
      <c r="F18" s="199">
        <f t="shared" si="1"/>
        <v>0</v>
      </c>
      <c r="G18" s="193">
        <f t="shared" si="3"/>
        <v>2035</v>
      </c>
      <c r="H18" s="195">
        <f t="shared" si="4"/>
        <v>-1261347.0864669979</v>
      </c>
    </row>
    <row r="19" spans="1:8" ht="18">
      <c r="A19" s="138">
        <f t="shared" si="2"/>
        <v>2036</v>
      </c>
      <c r="B19" s="198">
        <f>'BCA Summary Discounted'!P18</f>
        <v>0</v>
      </c>
      <c r="C19" s="198">
        <f>'BCA Summary Discounted'!Q18</f>
        <v>20317476.732119642</v>
      </c>
      <c r="D19" s="198">
        <f t="shared" si="0"/>
        <v>205653467.07337976</v>
      </c>
      <c r="E19" s="198">
        <f t="shared" si="5"/>
        <v>224709596.71903241</v>
      </c>
      <c r="F19" s="199" t="str">
        <f t="shared" si="1"/>
        <v>X</v>
      </c>
      <c r="G19" s="193">
        <f t="shared" si="3"/>
        <v>2036</v>
      </c>
      <c r="H19" s="195">
        <f t="shared" si="4"/>
        <v>19056129.645652652</v>
      </c>
    </row>
    <row r="20" spans="1:8" ht="18">
      <c r="A20" s="138">
        <f t="shared" si="2"/>
        <v>2037</v>
      </c>
      <c r="B20" s="198">
        <f>'BCA Summary Discounted'!P19</f>
        <v>0</v>
      </c>
      <c r="C20" s="198">
        <f>'BCA Summary Discounted'!Q19</f>
        <v>19763532.878457271</v>
      </c>
      <c r="D20" s="198">
        <f t="shared" si="0"/>
        <v>205653467.07337976</v>
      </c>
      <c r="E20" s="198">
        <f t="shared" si="5"/>
        <v>244473129.59748968</v>
      </c>
      <c r="F20" s="199">
        <f t="shared" si="1"/>
        <v>0</v>
      </c>
      <c r="G20" s="193">
        <f t="shared" si="3"/>
        <v>2037</v>
      </c>
      <c r="H20" s="195">
        <f t="shared" si="4"/>
        <v>38819662.52410993</v>
      </c>
    </row>
    <row r="21" spans="1:8" ht="18">
      <c r="A21" s="138">
        <f t="shared" si="2"/>
        <v>2038</v>
      </c>
      <c r="B21" s="198">
        <f>'BCA Summary Discounted'!P20</f>
        <v>0</v>
      </c>
      <c r="C21" s="198">
        <f>'BCA Summary Discounted'!Q20</f>
        <v>19201553.912925247</v>
      </c>
      <c r="D21" s="198">
        <f t="shared" si="0"/>
        <v>205653467.07337976</v>
      </c>
      <c r="E21" s="198">
        <f t="shared" si="5"/>
        <v>263674683.51041493</v>
      </c>
      <c r="F21" s="199">
        <f t="shared" si="1"/>
        <v>0</v>
      </c>
      <c r="G21" s="193">
        <f t="shared" si="3"/>
        <v>2038</v>
      </c>
      <c r="H21" s="195">
        <f t="shared" si="4"/>
        <v>58021216.437035173</v>
      </c>
    </row>
    <row r="22" spans="1:8" ht="18">
      <c r="A22" s="138">
        <f t="shared" si="2"/>
        <v>2039</v>
      </c>
      <c r="B22" s="198">
        <f>'BCA Summary Discounted'!P21</f>
        <v>0</v>
      </c>
      <c r="C22" s="198">
        <f>'BCA Summary Discounted'!Q21</f>
        <v>18634017.909948487</v>
      </c>
      <c r="D22" s="198">
        <f t="shared" si="0"/>
        <v>205653467.07337976</v>
      </c>
      <c r="E22" s="198">
        <f t="shared" si="5"/>
        <v>282308701.42036343</v>
      </c>
      <c r="F22" s="199">
        <f t="shared" si="1"/>
        <v>0</v>
      </c>
      <c r="G22" s="193">
        <f t="shared" si="3"/>
        <v>2039</v>
      </c>
      <c r="H22" s="195">
        <f t="shared" si="4"/>
        <v>76655234.346983671</v>
      </c>
    </row>
    <row r="23" spans="1:8" ht="18">
      <c r="A23" s="138">
        <f t="shared" si="2"/>
        <v>2040</v>
      </c>
      <c r="B23" s="198">
        <f>'BCA Summary Discounted'!P22</f>
        <v>0</v>
      </c>
      <c r="C23" s="198">
        <f>'BCA Summary Discounted'!Q22</f>
        <v>18064604.343567673</v>
      </c>
      <c r="D23" s="198">
        <f t="shared" si="0"/>
        <v>205653467.07337976</v>
      </c>
      <c r="E23" s="198">
        <f t="shared" si="5"/>
        <v>300373305.7639311</v>
      </c>
      <c r="F23" s="199">
        <f t="shared" si="1"/>
        <v>0</v>
      </c>
      <c r="G23" s="193">
        <f t="shared" si="3"/>
        <v>2040</v>
      </c>
      <c r="H23" s="195">
        <f t="shared" si="4"/>
        <v>94719838.690551341</v>
      </c>
    </row>
    <row r="24" spans="1:8" ht="18">
      <c r="A24" s="138">
        <f t="shared" si="2"/>
        <v>2041</v>
      </c>
      <c r="B24" s="198">
        <f>'BCA Summary Discounted'!P23</f>
        <v>0</v>
      </c>
      <c r="C24" s="198">
        <f>'BCA Summary Discounted'!Q23</f>
        <v>17495319.236883275</v>
      </c>
      <c r="D24" s="198">
        <f t="shared" si="0"/>
        <v>205653467.07337976</v>
      </c>
      <c r="E24" s="198">
        <f t="shared" si="5"/>
        <v>317868625.00081438</v>
      </c>
      <c r="F24" s="199">
        <f t="shared" si="1"/>
        <v>0</v>
      </c>
      <c r="G24" s="193">
        <f t="shared" si="3"/>
        <v>2041</v>
      </c>
      <c r="H24" s="195">
        <f t="shared" si="4"/>
        <v>112215157.92743462</v>
      </c>
    </row>
    <row r="25" spans="1:8" ht="18">
      <c r="A25" s="138">
        <f t="shared" si="2"/>
        <v>2042</v>
      </c>
      <c r="B25" s="198">
        <f>'BCA Summary Discounted'!P24</f>
        <v>0</v>
      </c>
      <c r="C25" s="198">
        <f>'BCA Summary Discounted'!Q24</f>
        <v>16928272.068496723</v>
      </c>
      <c r="D25" s="198">
        <f t="shared" si="0"/>
        <v>205653467.07337976</v>
      </c>
      <c r="E25" s="198">
        <f t="shared" si="5"/>
        <v>334796897.06931108</v>
      </c>
      <c r="F25" s="199">
        <f t="shared" si="1"/>
        <v>0</v>
      </c>
      <c r="G25" s="193">
        <f t="shared" si="3"/>
        <v>2042</v>
      </c>
      <c r="H25" s="195">
        <f t="shared" si="4"/>
        <v>129143429.99593133</v>
      </c>
    </row>
    <row r="26" spans="1:8" ht="18">
      <c r="A26" s="138">
        <f t="shared" si="2"/>
        <v>2043</v>
      </c>
      <c r="B26" s="198">
        <f>'BCA Summary Discounted'!P25</f>
        <v>0</v>
      </c>
      <c r="C26" s="198">
        <f>'BCA Summary Discounted'!Q25</f>
        <v>16365682.899724089</v>
      </c>
      <c r="D26" s="198">
        <f t="shared" si="0"/>
        <v>205653467.07337976</v>
      </c>
      <c r="E26" s="198">
        <f t="shared" si="5"/>
        <v>351162579.96903515</v>
      </c>
      <c r="F26" s="199">
        <f>IF(AND(D26&lt;E26, D25&gt;E25), "X", 0)</f>
        <v>0</v>
      </c>
      <c r="G26" s="193">
        <f t="shared" si="3"/>
        <v>2043</v>
      </c>
      <c r="H26" s="195">
        <f t="shared" si="4"/>
        <v>145509112.89565539</v>
      </c>
    </row>
    <row r="27" spans="1:8" ht="18">
      <c r="A27" s="138">
        <f t="shared" si="2"/>
        <v>2044</v>
      </c>
      <c r="B27" s="198">
        <f>'BCA Summary Discounted'!P26</f>
        <v>0</v>
      </c>
      <c r="C27" s="198">
        <f>'BCA Summary Discounted'!Q26</f>
        <v>15808425.407879721</v>
      </c>
      <c r="D27" s="198">
        <f t="shared" si="0"/>
        <v>205653467.07337976</v>
      </c>
      <c r="E27" s="198">
        <f t="shared" si="5"/>
        <v>366971005.37691486</v>
      </c>
      <c r="F27" s="199">
        <f t="shared" ref="F27:F31" si="6">IF(AND(D27&lt;E27, D26&gt;E26), "X", 0)</f>
        <v>0</v>
      </c>
      <c r="G27" s="193">
        <f t="shared" si="3"/>
        <v>2044</v>
      </c>
      <c r="H27" s="195">
        <f t="shared" si="4"/>
        <v>161317538.3035351</v>
      </c>
    </row>
    <row r="28" spans="1:8" ht="18">
      <c r="A28" s="138">
        <f t="shared" si="2"/>
        <v>2045</v>
      </c>
      <c r="B28" s="198">
        <f>'BCA Summary Discounted'!P27</f>
        <v>0</v>
      </c>
      <c r="C28" s="198">
        <f>'BCA Summary Discounted'!Q27</f>
        <v>15258276.256332014</v>
      </c>
      <c r="D28" s="198">
        <f t="shared" si="0"/>
        <v>205653467.07337976</v>
      </c>
      <c r="E28" s="198">
        <f t="shared" si="5"/>
        <v>382229281.6332469</v>
      </c>
      <c r="F28" s="199">
        <f t="shared" si="6"/>
        <v>0</v>
      </c>
      <c r="G28" s="193">
        <f t="shared" si="3"/>
        <v>2045</v>
      </c>
      <c r="H28" s="195">
        <f t="shared" si="4"/>
        <v>176575814.55986714</v>
      </c>
    </row>
    <row r="29" spans="1:8" ht="18">
      <c r="A29" s="138">
        <f t="shared" si="2"/>
        <v>2046</v>
      </c>
      <c r="B29" s="198">
        <f>'BCA Summary Discounted'!P28</f>
        <v>0</v>
      </c>
      <c r="C29" s="198">
        <f>'BCA Summary Discounted'!Q28</f>
        <v>14716445.857731432</v>
      </c>
      <c r="D29" s="198">
        <f t="shared" si="0"/>
        <v>205653467.07337976</v>
      </c>
      <c r="E29" s="198">
        <f t="shared" si="5"/>
        <v>396945727.49097836</v>
      </c>
      <c r="F29" s="199">
        <f t="shared" si="6"/>
        <v>0</v>
      </c>
      <c r="G29" s="193">
        <f t="shared" si="3"/>
        <v>2046</v>
      </c>
      <c r="H29" s="195">
        <f t="shared" si="4"/>
        <v>191292260.41759861</v>
      </c>
    </row>
    <row r="30" spans="1:8" ht="18">
      <c r="A30" s="138">
        <f t="shared" si="2"/>
        <v>2047</v>
      </c>
      <c r="B30" s="198">
        <f>'BCA Summary Discounted'!P29</f>
        <v>0</v>
      </c>
      <c r="C30" s="198">
        <f>'BCA Summary Discounted'!Q29</f>
        <v>14183970.048899004</v>
      </c>
      <c r="D30" s="198">
        <f t="shared" si="0"/>
        <v>205653467.07337976</v>
      </c>
      <c r="E30" s="198">
        <f t="shared" si="5"/>
        <v>411129697.53987736</v>
      </c>
      <c r="F30" s="199">
        <f t="shared" si="6"/>
        <v>0</v>
      </c>
      <c r="G30" s="193">
        <f t="shared" si="3"/>
        <v>2047</v>
      </c>
      <c r="H30" s="195">
        <f t="shared" si="4"/>
        <v>205476230.4664976</v>
      </c>
    </row>
    <row r="31" spans="1:8" ht="18">
      <c r="A31" s="138">
        <f t="shared" si="2"/>
        <v>2048</v>
      </c>
      <c r="B31" s="198">
        <f>'BCA Summary Discounted'!P30</f>
        <v>0</v>
      </c>
      <c r="C31" s="198">
        <f>'BCA Summary Discounted'!Q30</f>
        <v>13662309.22733273</v>
      </c>
      <c r="D31" s="198">
        <f t="shared" si="0"/>
        <v>205653467.07337976</v>
      </c>
      <c r="E31" s="198">
        <f t="shared" si="5"/>
        <v>424792006.76721007</v>
      </c>
      <c r="F31" s="199">
        <f t="shared" si="6"/>
        <v>0</v>
      </c>
      <c r="G31" s="193">
        <f t="shared" si="3"/>
        <v>2048</v>
      </c>
      <c r="H31" s="195">
        <f t="shared" si="4"/>
        <v>219138539.69383031</v>
      </c>
    </row>
    <row r="32" spans="1:8" s="182" customFormat="1" ht="18">
      <c r="A32" s="138">
        <f t="shared" si="2"/>
        <v>2049</v>
      </c>
      <c r="B32" s="198">
        <f>'BCA Summary Discounted'!P31</f>
        <v>0</v>
      </c>
      <c r="C32" s="198">
        <f>'BCA Summary Discounted'!Q31</f>
        <v>13151028.890755564</v>
      </c>
      <c r="D32" s="198">
        <f t="shared" ref="D32:D35" si="7">D31+B32</f>
        <v>205653467.07337976</v>
      </c>
      <c r="E32" s="198">
        <f t="shared" ref="E32:E35" si="8">E31+C32</f>
        <v>437943035.65796566</v>
      </c>
      <c r="F32" s="199">
        <f t="shared" ref="F32:F35" si="9">IF(AND(D32&lt;E32, D31&gt;E31), "X", 0)</f>
        <v>0</v>
      </c>
      <c r="G32" s="193">
        <f t="shared" si="3"/>
        <v>2049</v>
      </c>
      <c r="H32" s="195">
        <f t="shared" ref="H32:H35" si="10">E32-D32</f>
        <v>232289568.58458591</v>
      </c>
    </row>
    <row r="33" spans="1:8" s="182" customFormat="1" ht="18">
      <c r="A33" s="138">
        <f t="shared" si="2"/>
        <v>2050</v>
      </c>
      <c r="B33" s="198">
        <f>'BCA Summary Discounted'!P32</f>
        <v>0</v>
      </c>
      <c r="C33" s="198">
        <f>'BCA Summary Discounted'!Q32</f>
        <v>12650733.102762794</v>
      </c>
      <c r="D33" s="198">
        <f t="shared" si="7"/>
        <v>205653467.07337976</v>
      </c>
      <c r="E33" s="198">
        <f t="shared" si="8"/>
        <v>450593768.76072848</v>
      </c>
      <c r="F33" s="199">
        <f t="shared" si="9"/>
        <v>0</v>
      </c>
      <c r="G33" s="193">
        <f t="shared" si="3"/>
        <v>2050</v>
      </c>
      <c r="H33" s="195">
        <f t="shared" si="10"/>
        <v>244940301.68734872</v>
      </c>
    </row>
    <row r="34" spans="1:8" s="182" customFormat="1" ht="18">
      <c r="A34" s="138">
        <f t="shared" si="2"/>
        <v>2051</v>
      </c>
      <c r="B34" s="198">
        <f>'BCA Summary Discounted'!P33</f>
        <v>0</v>
      </c>
      <c r="C34" s="198">
        <f>'BCA Summary Discounted'!Q33</f>
        <v>11824594.766208181</v>
      </c>
      <c r="D34" s="198">
        <f t="shared" si="7"/>
        <v>205653467.07337976</v>
      </c>
      <c r="E34" s="198">
        <f t="shared" si="8"/>
        <v>462418363.52693665</v>
      </c>
      <c r="F34" s="199">
        <f t="shared" si="9"/>
        <v>0</v>
      </c>
      <c r="G34" s="193">
        <f t="shared" si="3"/>
        <v>2051</v>
      </c>
      <c r="H34" s="195">
        <f t="shared" si="10"/>
        <v>256764896.4535569</v>
      </c>
    </row>
    <row r="35" spans="1:8" s="182" customFormat="1" ht="18">
      <c r="A35" s="138">
        <f t="shared" si="2"/>
        <v>2052</v>
      </c>
      <c r="B35" s="198">
        <f>'BCA Summary Discounted'!P34</f>
        <v>0</v>
      </c>
      <c r="C35" s="198">
        <f>'BCA Summary Discounted'!Q34</f>
        <v>11051716.891409053</v>
      </c>
      <c r="D35" s="198">
        <f t="shared" si="7"/>
        <v>205653467.07337976</v>
      </c>
      <c r="E35" s="198">
        <f t="shared" si="8"/>
        <v>473470080.41834569</v>
      </c>
      <c r="F35" s="199">
        <f t="shared" si="9"/>
        <v>0</v>
      </c>
      <c r="G35" s="193">
        <f t="shared" si="3"/>
        <v>2052</v>
      </c>
      <c r="H35" s="195">
        <f t="shared" si="10"/>
        <v>267816613.34496593</v>
      </c>
    </row>
    <row r="36" spans="1:8" s="182" customFormat="1" ht="18">
      <c r="A36" s="138">
        <f t="shared" si="2"/>
        <v>2053</v>
      </c>
      <c r="B36" s="198">
        <f>'BCA Summary Discounted'!P35</f>
        <v>0</v>
      </c>
      <c r="C36" s="198">
        <f>'BCA Summary Discounted'!Q35</f>
        <v>10329372.720269751</v>
      </c>
      <c r="D36" s="198">
        <f t="shared" ref="D36" si="11">D35+B36</f>
        <v>205653467.07337976</v>
      </c>
      <c r="E36" s="198">
        <f t="shared" ref="E36" si="12">E35+C36</f>
        <v>483799453.13861543</v>
      </c>
      <c r="F36" s="199">
        <f t="shared" ref="F36" si="13">IF(AND(D36&lt;E36, D35&gt;E35), "X", 0)</f>
        <v>0</v>
      </c>
      <c r="G36" s="193">
        <f t="shared" si="3"/>
        <v>2053</v>
      </c>
      <c r="H36" s="195">
        <f t="shared" ref="H36" si="14">E36-D36</f>
        <v>278145986.06523567</v>
      </c>
    </row>
    <row r="37" spans="1:8" s="182" customFormat="1" ht="18">
      <c r="A37" s="138"/>
      <c r="B37" s="198"/>
      <c r="C37" s="198"/>
      <c r="D37" s="198"/>
      <c r="E37" s="198"/>
      <c r="F37" s="199"/>
      <c r="G37" s="193"/>
      <c r="H37" s="195"/>
    </row>
    <row r="38" spans="1:8" s="182" customFormat="1" ht="18">
      <c r="A38" s="266"/>
      <c r="B38" s="305"/>
      <c r="C38" s="305"/>
      <c r="D38" s="305"/>
      <c r="E38" s="305"/>
      <c r="F38" s="306"/>
      <c r="G38" s="307"/>
      <c r="H38" s="308"/>
    </row>
    <row r="40" spans="1:8">
      <c r="A40" s="138" t="s">
        <v>1</v>
      </c>
      <c r="B40" s="138" t="s">
        <v>116</v>
      </c>
      <c r="C40" s="138" t="s">
        <v>117</v>
      </c>
    </row>
    <row r="41" spans="1:8" s="182" customFormat="1">
      <c r="A41" s="138">
        <f>A7</f>
        <v>2024</v>
      </c>
      <c r="B41" s="156">
        <f>D7</f>
        <v>73237940.356562406</v>
      </c>
      <c r="C41" s="156">
        <f>E7</f>
        <v>0</v>
      </c>
    </row>
    <row r="42" spans="1:8">
      <c r="A42" s="138">
        <f t="shared" ref="A42:A70" si="15">A8</f>
        <v>2025</v>
      </c>
      <c r="B42" s="156">
        <f t="shared" ref="B42:B70" si="16">D8</f>
        <v>141684613.58699456</v>
      </c>
      <c r="C42" s="156">
        <f>E8</f>
        <v>0</v>
      </c>
    </row>
    <row r="43" spans="1:8">
      <c r="A43" s="138">
        <f t="shared" si="15"/>
        <v>2026</v>
      </c>
      <c r="B43" s="156">
        <f t="shared" si="16"/>
        <v>205653467.07337976</v>
      </c>
      <c r="C43" s="156">
        <f t="shared" ref="C43:C65" si="17">E9</f>
        <v>0</v>
      </c>
    </row>
    <row r="44" spans="1:8">
      <c r="A44" s="138">
        <f t="shared" si="15"/>
        <v>2027</v>
      </c>
      <c r="B44" s="156">
        <f t="shared" si="16"/>
        <v>205653467.07337976</v>
      </c>
      <c r="C44" s="156">
        <f t="shared" si="17"/>
        <v>24216744.97144356</v>
      </c>
    </row>
    <row r="45" spans="1:8">
      <c r="A45" s="138">
        <f t="shared" si="15"/>
        <v>2028</v>
      </c>
      <c r="B45" s="156">
        <f t="shared" si="16"/>
        <v>205653467.07337976</v>
      </c>
      <c r="C45" s="156">
        <f t="shared" si="17"/>
        <v>48163713.76865682</v>
      </c>
    </row>
    <row r="46" spans="1:8">
      <c r="A46" s="138">
        <f t="shared" si="15"/>
        <v>2029</v>
      </c>
      <c r="B46" s="156">
        <f t="shared" si="16"/>
        <v>205653467.07337976</v>
      </c>
      <c r="C46" s="156">
        <f t="shared" si="17"/>
        <v>71790092.928208709</v>
      </c>
    </row>
    <row r="47" spans="1:8">
      <c r="A47" s="138">
        <f t="shared" si="15"/>
        <v>2030</v>
      </c>
      <c r="B47" s="156">
        <f t="shared" si="16"/>
        <v>205653467.07337976</v>
      </c>
      <c r="C47" s="156">
        <f t="shared" si="17"/>
        <v>95040351.766281798</v>
      </c>
    </row>
    <row r="48" spans="1:8">
      <c r="A48" s="138">
        <f t="shared" si="15"/>
        <v>2031</v>
      </c>
      <c r="B48" s="156">
        <f t="shared" si="16"/>
        <v>205653467.07337976</v>
      </c>
      <c r="C48" s="156">
        <f t="shared" si="17"/>
        <v>117872375.86739364</v>
      </c>
    </row>
    <row r="49" spans="1:3">
      <c r="A49" s="138">
        <f t="shared" si="15"/>
        <v>2032</v>
      </c>
      <c r="B49" s="156">
        <f t="shared" si="16"/>
        <v>205653467.07337976</v>
      </c>
      <c r="C49" s="156">
        <f t="shared" si="17"/>
        <v>140250573.29875162</v>
      </c>
    </row>
    <row r="50" spans="1:3">
      <c r="A50" s="138">
        <f t="shared" si="15"/>
        <v>2033</v>
      </c>
      <c r="B50" s="156">
        <f t="shared" si="16"/>
        <v>205653467.07337976</v>
      </c>
      <c r="C50" s="156">
        <f t="shared" si="17"/>
        <v>162145265.9572295</v>
      </c>
    </row>
    <row r="51" spans="1:3">
      <c r="A51" s="138">
        <f t="shared" si="15"/>
        <v>2034</v>
      </c>
      <c r="B51" s="156">
        <f t="shared" si="16"/>
        <v>205653467.07337976</v>
      </c>
      <c r="C51" s="156">
        <f t="shared" si="17"/>
        <v>183532099.16470701</v>
      </c>
    </row>
    <row r="52" spans="1:3">
      <c r="A52" s="138">
        <f t="shared" si="15"/>
        <v>2035</v>
      </c>
      <c r="B52" s="156">
        <f t="shared" si="16"/>
        <v>205653467.07337976</v>
      </c>
      <c r="C52" s="156">
        <f t="shared" si="17"/>
        <v>204392119.98691276</v>
      </c>
    </row>
    <row r="53" spans="1:3">
      <c r="A53" s="138">
        <f t="shared" si="15"/>
        <v>2036</v>
      </c>
      <c r="B53" s="156">
        <f t="shared" si="16"/>
        <v>205653467.07337976</v>
      </c>
      <c r="C53" s="156">
        <f t="shared" si="17"/>
        <v>224709596.71903241</v>
      </c>
    </row>
    <row r="54" spans="1:3">
      <c r="A54" s="138">
        <f t="shared" si="15"/>
        <v>2037</v>
      </c>
      <c r="B54" s="156">
        <f t="shared" si="16"/>
        <v>205653467.07337976</v>
      </c>
      <c r="C54" s="156">
        <f t="shared" si="17"/>
        <v>244473129.59748968</v>
      </c>
    </row>
    <row r="55" spans="1:3">
      <c r="A55" s="138">
        <f t="shared" si="15"/>
        <v>2038</v>
      </c>
      <c r="B55" s="156">
        <f t="shared" si="16"/>
        <v>205653467.07337976</v>
      </c>
      <c r="C55" s="156">
        <f t="shared" si="17"/>
        <v>263674683.51041493</v>
      </c>
    </row>
    <row r="56" spans="1:3">
      <c r="A56" s="138">
        <f t="shared" si="15"/>
        <v>2039</v>
      </c>
      <c r="B56" s="156">
        <f t="shared" si="16"/>
        <v>205653467.07337976</v>
      </c>
      <c r="C56" s="156">
        <f t="shared" si="17"/>
        <v>282308701.42036343</v>
      </c>
    </row>
    <row r="57" spans="1:3">
      <c r="A57" s="138">
        <f t="shared" si="15"/>
        <v>2040</v>
      </c>
      <c r="B57" s="156">
        <f t="shared" si="16"/>
        <v>205653467.07337976</v>
      </c>
      <c r="C57" s="156">
        <f t="shared" si="17"/>
        <v>300373305.7639311</v>
      </c>
    </row>
    <row r="58" spans="1:3">
      <c r="A58" s="138">
        <f t="shared" si="15"/>
        <v>2041</v>
      </c>
      <c r="B58" s="156">
        <f t="shared" si="16"/>
        <v>205653467.07337976</v>
      </c>
      <c r="C58" s="156">
        <f t="shared" si="17"/>
        <v>317868625.00081438</v>
      </c>
    </row>
    <row r="59" spans="1:3">
      <c r="A59" s="138">
        <f t="shared" si="15"/>
        <v>2042</v>
      </c>
      <c r="B59" s="156">
        <f t="shared" si="16"/>
        <v>205653467.07337976</v>
      </c>
      <c r="C59" s="156">
        <f t="shared" si="17"/>
        <v>334796897.06931108</v>
      </c>
    </row>
    <row r="60" spans="1:3">
      <c r="A60" s="138">
        <f t="shared" si="15"/>
        <v>2043</v>
      </c>
      <c r="B60" s="156">
        <f t="shared" si="16"/>
        <v>205653467.07337976</v>
      </c>
      <c r="C60" s="156">
        <f t="shared" si="17"/>
        <v>351162579.96903515</v>
      </c>
    </row>
    <row r="61" spans="1:3">
      <c r="A61" s="138">
        <f t="shared" si="15"/>
        <v>2044</v>
      </c>
      <c r="B61" s="156">
        <f t="shared" si="16"/>
        <v>205653467.07337976</v>
      </c>
      <c r="C61" s="156">
        <f t="shared" si="17"/>
        <v>366971005.37691486</v>
      </c>
    </row>
    <row r="62" spans="1:3">
      <c r="A62" s="138">
        <f t="shared" si="15"/>
        <v>2045</v>
      </c>
      <c r="B62" s="156">
        <f t="shared" si="16"/>
        <v>205653467.07337976</v>
      </c>
      <c r="C62" s="156">
        <f t="shared" si="17"/>
        <v>382229281.6332469</v>
      </c>
    </row>
    <row r="63" spans="1:3">
      <c r="A63" s="138">
        <f t="shared" si="15"/>
        <v>2046</v>
      </c>
      <c r="B63" s="156">
        <f t="shared" si="16"/>
        <v>205653467.07337976</v>
      </c>
      <c r="C63" s="156">
        <f t="shared" si="17"/>
        <v>396945727.49097836</v>
      </c>
    </row>
    <row r="64" spans="1:3">
      <c r="A64" s="138">
        <f t="shared" si="15"/>
        <v>2047</v>
      </c>
      <c r="B64" s="156">
        <f t="shared" si="16"/>
        <v>205653467.07337976</v>
      </c>
      <c r="C64" s="156">
        <f t="shared" si="17"/>
        <v>411129697.53987736</v>
      </c>
    </row>
    <row r="65" spans="1:3">
      <c r="A65" s="138">
        <f t="shared" si="15"/>
        <v>2048</v>
      </c>
      <c r="B65" s="156">
        <f t="shared" si="16"/>
        <v>205653467.07337976</v>
      </c>
      <c r="C65" s="156">
        <f t="shared" si="17"/>
        <v>424792006.76721007</v>
      </c>
    </row>
    <row r="66" spans="1:3">
      <c r="A66" s="138">
        <f t="shared" si="15"/>
        <v>2049</v>
      </c>
      <c r="B66" s="156">
        <f t="shared" si="16"/>
        <v>205653467.07337976</v>
      </c>
      <c r="C66" s="156">
        <f t="shared" ref="C66:C70" si="18">E32</f>
        <v>437943035.65796566</v>
      </c>
    </row>
    <row r="67" spans="1:3">
      <c r="A67" s="138">
        <f t="shared" si="15"/>
        <v>2050</v>
      </c>
      <c r="B67" s="156">
        <f t="shared" si="16"/>
        <v>205653467.07337976</v>
      </c>
      <c r="C67" s="156">
        <f t="shared" si="18"/>
        <v>450593768.76072848</v>
      </c>
    </row>
    <row r="68" spans="1:3">
      <c r="A68" s="138">
        <f t="shared" si="15"/>
        <v>2051</v>
      </c>
      <c r="B68" s="156">
        <f t="shared" si="16"/>
        <v>205653467.07337976</v>
      </c>
      <c r="C68" s="156">
        <f t="shared" si="18"/>
        <v>462418363.52693665</v>
      </c>
    </row>
    <row r="69" spans="1:3">
      <c r="A69" s="138">
        <f t="shared" si="15"/>
        <v>2052</v>
      </c>
      <c r="B69" s="156">
        <f t="shared" si="16"/>
        <v>205653467.07337976</v>
      </c>
      <c r="C69" s="156">
        <f t="shared" si="18"/>
        <v>473470080.41834569</v>
      </c>
    </row>
    <row r="70" spans="1:3">
      <c r="A70" s="138">
        <f t="shared" si="15"/>
        <v>2053</v>
      </c>
      <c r="B70" s="156">
        <f t="shared" si="16"/>
        <v>205653467.07337976</v>
      </c>
      <c r="C70" s="156">
        <f t="shared" si="18"/>
        <v>483799453.13861543</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V42"/>
  <sheetViews>
    <sheetView topLeftCell="B10" zoomScale="110" zoomScaleNormal="110" workbookViewId="0">
      <selection activeCell="E9" sqref="E9"/>
    </sheetView>
  </sheetViews>
  <sheetFormatPr defaultColWidth="9.109375" defaultRowHeight="14.4"/>
  <cols>
    <col min="1" max="1" width="63.6640625" style="182" customWidth="1"/>
    <col min="2" max="2" width="13.109375" style="182" bestFit="1" customWidth="1"/>
    <col min="3" max="3" width="12.6640625" style="182" customWidth="1"/>
    <col min="4" max="4" width="14.33203125" style="182" bestFit="1" customWidth="1"/>
    <col min="5" max="5" width="13" style="182" customWidth="1"/>
    <col min="6" max="6" width="4.109375" style="182" customWidth="1"/>
    <col min="7" max="7" width="8" style="182" bestFit="1" customWidth="1"/>
    <col min="8" max="8" width="6.5546875" style="182" bestFit="1" customWidth="1"/>
    <col min="9" max="9" width="5" style="182" bestFit="1" customWidth="1"/>
    <col min="10" max="10" width="13.5546875" style="182" customWidth="1"/>
    <col min="11" max="11" width="13.6640625" style="182" customWidth="1"/>
    <col min="12" max="12" width="13.33203125" style="182" customWidth="1"/>
    <col min="13" max="13" width="13.5546875" style="182" customWidth="1"/>
    <col min="14" max="14" width="4" style="182" customWidth="1"/>
    <col min="15" max="15" width="5.109375" style="182" customWidth="1"/>
    <col min="16" max="16" width="8" style="182" customWidth="1"/>
    <col min="17" max="17" width="10" style="182" customWidth="1"/>
    <col min="18" max="18" width="11.5546875" style="182" customWidth="1"/>
    <col min="19" max="19" width="12.88671875" style="182" customWidth="1"/>
    <col min="20" max="20" width="9.109375" style="182"/>
    <col min="21" max="22" width="14.6640625" style="182" customWidth="1"/>
    <col min="23" max="16384" width="9.109375" style="182"/>
  </cols>
  <sheetData>
    <row r="1" spans="1:22">
      <c r="A1" s="270"/>
      <c r="B1" s="270"/>
      <c r="C1" s="270"/>
      <c r="D1" s="270"/>
      <c r="E1" s="270"/>
      <c r="F1" s="270"/>
      <c r="G1" s="270"/>
      <c r="H1" s="270"/>
    </row>
    <row r="2" spans="1:22" ht="22.8">
      <c r="A2" s="271" t="str">
        <f>'Title Sheet'!$A$2</f>
        <v>Benefit-Cost Analysis Spreadsheet for the Illinois International Port - Calumet Bridges Rehabilitation Project</v>
      </c>
      <c r="B2" s="270"/>
      <c r="C2" s="272"/>
      <c r="D2" s="270"/>
      <c r="E2" s="270"/>
      <c r="F2" s="270"/>
      <c r="G2" s="270"/>
      <c r="H2" s="270"/>
    </row>
    <row r="3" spans="1:22" ht="18">
      <c r="A3" s="140" t="s">
        <v>242</v>
      </c>
      <c r="I3" s="321"/>
      <c r="J3" s="455" t="s">
        <v>8</v>
      </c>
      <c r="K3" s="455"/>
      <c r="L3" s="455"/>
      <c r="M3" s="455"/>
      <c r="N3" s="35"/>
      <c r="O3" s="321"/>
      <c r="P3" s="455" t="s">
        <v>9</v>
      </c>
      <c r="Q3" s="455"/>
      <c r="R3" s="455"/>
      <c r="S3" s="455"/>
      <c r="U3" s="456" t="s">
        <v>169</v>
      </c>
      <c r="V3" s="456"/>
    </row>
    <row r="4" spans="1:22" ht="41.4">
      <c r="A4" s="141" t="s">
        <v>219</v>
      </c>
      <c r="B4" s="32"/>
      <c r="G4" s="332" t="s">
        <v>54</v>
      </c>
      <c r="H4" s="332" t="s">
        <v>247</v>
      </c>
      <c r="I4" s="321" t="s">
        <v>1</v>
      </c>
      <c r="J4" s="322" t="s">
        <v>119</v>
      </c>
      <c r="K4" s="322" t="s">
        <v>220</v>
      </c>
      <c r="L4" s="322" t="s">
        <v>6</v>
      </c>
      <c r="M4" s="322" t="s">
        <v>24</v>
      </c>
      <c r="N4" s="320"/>
      <c r="O4" s="323" t="s">
        <v>1</v>
      </c>
      <c r="P4" s="322" t="s">
        <v>119</v>
      </c>
      <c r="Q4" s="322" t="s">
        <v>220</v>
      </c>
      <c r="R4" s="322" t="s">
        <v>6</v>
      </c>
      <c r="S4" s="322" t="s">
        <v>24</v>
      </c>
      <c r="U4" s="329" t="s">
        <v>6</v>
      </c>
      <c r="V4" s="330" t="s">
        <v>24</v>
      </c>
    </row>
    <row r="5" spans="1:22">
      <c r="A5" s="6" t="s">
        <v>244</v>
      </c>
      <c r="C5" s="296">
        <f>SUM(J9:J11)</f>
        <v>288000000</v>
      </c>
      <c r="D5" s="139" t="s">
        <v>194</v>
      </c>
      <c r="E5" s="38"/>
      <c r="F5" s="35"/>
      <c r="G5" s="433">
        <v>1</v>
      </c>
      <c r="H5" s="321"/>
      <c r="I5" s="321">
        <v>2020</v>
      </c>
      <c r="J5" s="323"/>
      <c r="K5" s="323"/>
      <c r="L5" s="323"/>
      <c r="M5" s="323"/>
      <c r="N5" s="319"/>
      <c r="O5" s="323">
        <v>2020</v>
      </c>
      <c r="P5" s="325">
        <v>0</v>
      </c>
      <c r="Q5" s="325">
        <v>0</v>
      </c>
      <c r="R5" s="325">
        <f t="shared" ref="R5:R39" si="0">SUM(P5:Q5)</f>
        <v>0</v>
      </c>
      <c r="S5" s="324">
        <f t="shared" ref="S5:S11" si="1">R5/G5</f>
        <v>0</v>
      </c>
      <c r="U5" s="331">
        <f t="shared" ref="U5:U11" si="2">R5-L5</f>
        <v>0</v>
      </c>
      <c r="V5" s="331">
        <f t="shared" ref="V5:V11" si="3">S5-M5</f>
        <v>0</v>
      </c>
    </row>
    <row r="6" spans="1:22" ht="27.6">
      <c r="A6" s="328" t="s">
        <v>245</v>
      </c>
      <c r="C6" s="35" t="s">
        <v>221</v>
      </c>
      <c r="D6" s="37"/>
      <c r="E6" s="38"/>
      <c r="F6" s="35"/>
      <c r="G6" s="433">
        <f>G5*1.07</f>
        <v>1.07</v>
      </c>
      <c r="H6" s="321"/>
      <c r="I6" s="321">
        <v>2021</v>
      </c>
      <c r="J6" s="323"/>
      <c r="K6" s="323"/>
      <c r="L6" s="323"/>
      <c r="M6" s="323"/>
      <c r="N6" s="319"/>
      <c r="O6" s="323">
        <v>2021</v>
      </c>
      <c r="P6" s="325">
        <v>0</v>
      </c>
      <c r="Q6" s="325">
        <v>0</v>
      </c>
      <c r="R6" s="325">
        <f t="shared" si="0"/>
        <v>0</v>
      </c>
      <c r="S6" s="324">
        <f t="shared" si="1"/>
        <v>0</v>
      </c>
      <c r="U6" s="331">
        <f t="shared" si="2"/>
        <v>0</v>
      </c>
      <c r="V6" s="331">
        <f t="shared" si="3"/>
        <v>0</v>
      </c>
    </row>
    <row r="7" spans="1:22">
      <c r="A7" s="295"/>
      <c r="D7" s="246" t="s">
        <v>199</v>
      </c>
      <c r="E7" s="207" t="s">
        <v>17</v>
      </c>
      <c r="F7" s="35"/>
      <c r="G7" s="433">
        <f t="shared" ref="G7:G14" si="4">G6*1.07</f>
        <v>1.1449</v>
      </c>
      <c r="H7" s="321"/>
      <c r="I7" s="321">
        <v>2022</v>
      </c>
      <c r="J7" s="324"/>
      <c r="K7" s="323"/>
      <c r="L7" s="323"/>
      <c r="M7" s="323"/>
      <c r="N7" s="319"/>
      <c r="O7" s="323">
        <v>2022</v>
      </c>
      <c r="P7" s="325">
        <v>0</v>
      </c>
      <c r="Q7" s="325">
        <v>0</v>
      </c>
      <c r="R7" s="325">
        <f t="shared" si="0"/>
        <v>0</v>
      </c>
      <c r="S7" s="324">
        <f t="shared" si="1"/>
        <v>0</v>
      </c>
      <c r="U7" s="331">
        <f t="shared" si="2"/>
        <v>0</v>
      </c>
      <c r="V7" s="331">
        <f t="shared" si="3"/>
        <v>0</v>
      </c>
    </row>
    <row r="8" spans="1:22">
      <c r="A8" s="294" t="s">
        <v>243</v>
      </c>
      <c r="D8" s="246">
        <f>(C5/50)*(50-27)</f>
        <v>132480000</v>
      </c>
      <c r="E8" s="207">
        <f>D8/G38</f>
        <v>14206452.900543096</v>
      </c>
      <c r="F8" s="35"/>
      <c r="G8" s="433">
        <f t="shared" si="4"/>
        <v>1.2250430000000001</v>
      </c>
      <c r="H8" s="321"/>
      <c r="I8" s="321">
        <v>2023</v>
      </c>
      <c r="J8" s="324"/>
      <c r="K8" s="323"/>
      <c r="L8" s="323"/>
      <c r="M8" s="323"/>
      <c r="N8" s="319"/>
      <c r="O8" s="323">
        <v>2023</v>
      </c>
      <c r="P8" s="325">
        <v>0</v>
      </c>
      <c r="Q8" s="325">
        <v>0</v>
      </c>
      <c r="R8" s="325">
        <f t="shared" si="0"/>
        <v>0</v>
      </c>
      <c r="S8" s="324">
        <f t="shared" si="1"/>
        <v>0</v>
      </c>
      <c r="U8" s="331">
        <f t="shared" si="2"/>
        <v>0</v>
      </c>
      <c r="V8" s="331">
        <f t="shared" si="3"/>
        <v>0</v>
      </c>
    </row>
    <row r="9" spans="1:22">
      <c r="A9" s="295" t="s">
        <v>246</v>
      </c>
      <c r="D9" s="35"/>
      <c r="E9" s="35"/>
      <c r="F9" s="35"/>
      <c r="G9" s="433">
        <f t="shared" si="4"/>
        <v>1.3107960100000002</v>
      </c>
      <c r="H9" s="321"/>
      <c r="I9" s="321">
        <v>2024</v>
      </c>
      <c r="J9" s="325">
        <v>96000000</v>
      </c>
      <c r="K9" s="323"/>
      <c r="L9" s="324">
        <f t="shared" ref="L9:L39" si="5">SUM(J9:K9)</f>
        <v>96000000</v>
      </c>
      <c r="M9" s="324">
        <f t="shared" ref="M9:M39" si="6">L9/G9</f>
        <v>73237940.356562406</v>
      </c>
      <c r="N9" s="319"/>
      <c r="O9" s="323">
        <v>2024</v>
      </c>
      <c r="P9" s="325">
        <v>0</v>
      </c>
      <c r="Q9" s="325">
        <v>0</v>
      </c>
      <c r="R9" s="325">
        <f t="shared" si="0"/>
        <v>0</v>
      </c>
      <c r="S9" s="324">
        <f t="shared" si="1"/>
        <v>0</v>
      </c>
      <c r="U9" s="331">
        <f t="shared" si="2"/>
        <v>-96000000</v>
      </c>
      <c r="V9" s="331">
        <f t="shared" si="3"/>
        <v>-73237940.356562406</v>
      </c>
    </row>
    <row r="10" spans="1:22">
      <c r="A10" s="294"/>
      <c r="D10" s="178"/>
      <c r="E10" s="35"/>
      <c r="F10" s="35"/>
      <c r="G10" s="433">
        <f t="shared" si="4"/>
        <v>1.4025517307000004</v>
      </c>
      <c r="H10" s="321"/>
      <c r="I10" s="321">
        <v>2025</v>
      </c>
      <c r="J10" s="325">
        <v>96000000</v>
      </c>
      <c r="K10" s="323"/>
      <c r="L10" s="324">
        <f t="shared" si="5"/>
        <v>96000000</v>
      </c>
      <c r="M10" s="324">
        <f t="shared" si="6"/>
        <v>68446673.230432153</v>
      </c>
      <c r="N10" s="244"/>
      <c r="O10" s="323">
        <v>2025</v>
      </c>
      <c r="P10" s="325">
        <v>0</v>
      </c>
      <c r="Q10" s="325">
        <v>0</v>
      </c>
      <c r="R10" s="325">
        <f t="shared" si="0"/>
        <v>0</v>
      </c>
      <c r="S10" s="324">
        <f t="shared" si="1"/>
        <v>0</v>
      </c>
      <c r="U10" s="331">
        <f t="shared" si="2"/>
        <v>-96000000</v>
      </c>
      <c r="V10" s="331">
        <f t="shared" si="3"/>
        <v>-68446673.230432153</v>
      </c>
    </row>
    <row r="11" spans="1:22">
      <c r="A11" s="245"/>
      <c r="F11" s="35"/>
      <c r="G11" s="433">
        <f t="shared" si="4"/>
        <v>1.5007303518490005</v>
      </c>
      <c r="H11" s="321"/>
      <c r="I11" s="321">
        <v>2026</v>
      </c>
      <c r="J11" s="325">
        <v>96000000</v>
      </c>
      <c r="K11" s="323"/>
      <c r="L11" s="324">
        <f t="shared" si="5"/>
        <v>96000000</v>
      </c>
      <c r="M11" s="324">
        <f t="shared" si="6"/>
        <v>63968853.486385182</v>
      </c>
      <c r="N11" s="244"/>
      <c r="O11" s="323">
        <v>2026</v>
      </c>
      <c r="P11" s="325">
        <v>0</v>
      </c>
      <c r="Q11" s="325">
        <v>0</v>
      </c>
      <c r="R11" s="325">
        <f t="shared" si="0"/>
        <v>0</v>
      </c>
      <c r="S11" s="324">
        <f t="shared" si="1"/>
        <v>0</v>
      </c>
      <c r="U11" s="331">
        <f t="shared" si="2"/>
        <v>-96000000</v>
      </c>
      <c r="V11" s="331">
        <f t="shared" si="3"/>
        <v>-63968853.486385182</v>
      </c>
    </row>
    <row r="12" spans="1:22">
      <c r="A12" s="245"/>
      <c r="F12" s="35"/>
      <c r="G12" s="433">
        <f t="shared" si="4"/>
        <v>1.6057814764784306</v>
      </c>
      <c r="H12" s="321">
        <v>1</v>
      </c>
      <c r="I12" s="321">
        <v>2027</v>
      </c>
      <c r="J12" s="325"/>
      <c r="K12" s="326">
        <v>500000</v>
      </c>
      <c r="L12" s="324">
        <f t="shared" si="5"/>
        <v>500000</v>
      </c>
      <c r="M12" s="324">
        <f t="shared" si="6"/>
        <v>311374.87094229547</v>
      </c>
      <c r="N12" s="244"/>
      <c r="O12" s="323">
        <v>2027</v>
      </c>
      <c r="P12" s="325">
        <v>0</v>
      </c>
      <c r="Q12" s="325">
        <v>0</v>
      </c>
      <c r="R12" s="325">
        <f t="shared" si="0"/>
        <v>0</v>
      </c>
      <c r="S12" s="324">
        <f t="shared" ref="S12:S39" si="7">R12/G12</f>
        <v>0</v>
      </c>
      <c r="U12" s="331">
        <f t="shared" ref="U12:U39" si="8">R12-L12</f>
        <v>-500000</v>
      </c>
      <c r="V12" s="331">
        <f t="shared" ref="V12:V39" si="9">S12-M12</f>
        <v>-311374.87094229547</v>
      </c>
    </row>
    <row r="13" spans="1:22">
      <c r="A13" s="245"/>
      <c r="F13" s="35"/>
      <c r="G13" s="433">
        <f t="shared" si="4"/>
        <v>1.7181861798319209</v>
      </c>
      <c r="H13" s="321">
        <v>2</v>
      </c>
      <c r="I13" s="321">
        <v>2028</v>
      </c>
      <c r="J13" s="325"/>
      <c r="K13" s="326">
        <v>500000</v>
      </c>
      <c r="L13" s="324">
        <f t="shared" si="5"/>
        <v>500000</v>
      </c>
      <c r="M13" s="324">
        <f t="shared" si="6"/>
        <v>291004.55228251911</v>
      </c>
      <c r="N13" s="244"/>
      <c r="O13" s="323">
        <v>2028</v>
      </c>
      <c r="P13" s="325">
        <v>0</v>
      </c>
      <c r="Q13" s="325">
        <v>0</v>
      </c>
      <c r="R13" s="325">
        <f t="shared" si="0"/>
        <v>0</v>
      </c>
      <c r="S13" s="324">
        <f t="shared" si="7"/>
        <v>0</v>
      </c>
      <c r="U13" s="331">
        <f t="shared" si="8"/>
        <v>-500000</v>
      </c>
      <c r="V13" s="331">
        <f t="shared" si="9"/>
        <v>-291004.55228251911</v>
      </c>
    </row>
    <row r="14" spans="1:22">
      <c r="A14" s="245"/>
      <c r="F14" s="38"/>
      <c r="G14" s="433">
        <f t="shared" si="4"/>
        <v>1.8384592124201555</v>
      </c>
      <c r="H14" s="321">
        <v>3</v>
      </c>
      <c r="I14" s="321">
        <v>2029</v>
      </c>
      <c r="J14" s="323"/>
      <c r="K14" s="326">
        <v>500000</v>
      </c>
      <c r="L14" s="324">
        <f t="shared" si="5"/>
        <v>500000</v>
      </c>
      <c r="M14" s="324">
        <f t="shared" si="6"/>
        <v>271966.87129207392</v>
      </c>
      <c r="N14" s="244"/>
      <c r="O14" s="323">
        <v>2029</v>
      </c>
      <c r="P14" s="325">
        <v>0</v>
      </c>
      <c r="Q14" s="325">
        <v>0</v>
      </c>
      <c r="R14" s="325">
        <f t="shared" si="0"/>
        <v>0</v>
      </c>
      <c r="S14" s="324">
        <f t="shared" si="7"/>
        <v>0</v>
      </c>
      <c r="U14" s="331">
        <f t="shared" si="8"/>
        <v>-500000</v>
      </c>
      <c r="V14" s="331">
        <f t="shared" si="9"/>
        <v>-271966.87129207392</v>
      </c>
    </row>
    <row r="15" spans="1:22">
      <c r="A15" s="245"/>
      <c r="F15" s="38"/>
      <c r="G15" s="433">
        <f>G14*1.07</f>
        <v>1.9671513572895665</v>
      </c>
      <c r="H15" s="321">
        <v>4</v>
      </c>
      <c r="I15" s="321">
        <v>2030</v>
      </c>
      <c r="J15" s="323"/>
      <c r="K15" s="326">
        <v>500000</v>
      </c>
      <c r="L15" s="324">
        <f t="shared" si="5"/>
        <v>500000</v>
      </c>
      <c r="M15" s="324">
        <f t="shared" si="6"/>
        <v>254174.64606735879</v>
      </c>
      <c r="N15" s="244"/>
      <c r="O15" s="323">
        <v>2030</v>
      </c>
      <c r="P15" s="325">
        <v>0</v>
      </c>
      <c r="Q15" s="325">
        <v>0</v>
      </c>
      <c r="R15" s="325">
        <f t="shared" si="0"/>
        <v>0</v>
      </c>
      <c r="S15" s="324">
        <f t="shared" si="7"/>
        <v>0</v>
      </c>
      <c r="U15" s="331">
        <f t="shared" si="8"/>
        <v>-500000</v>
      </c>
      <c r="V15" s="331">
        <f t="shared" si="9"/>
        <v>-254174.64606735879</v>
      </c>
    </row>
    <row r="16" spans="1:22">
      <c r="A16" s="314"/>
      <c r="F16" s="38"/>
      <c r="G16" s="433">
        <f t="shared" ref="G16:G39" si="10">G15*1.07</f>
        <v>2.1048519522998363</v>
      </c>
      <c r="H16" s="321">
        <v>5</v>
      </c>
      <c r="I16" s="321">
        <v>2031</v>
      </c>
      <c r="J16" s="323"/>
      <c r="K16" s="326">
        <v>500000</v>
      </c>
      <c r="L16" s="324">
        <f t="shared" si="5"/>
        <v>500000</v>
      </c>
      <c r="M16" s="324">
        <f t="shared" si="6"/>
        <v>237546.39819379323</v>
      </c>
      <c r="N16" s="244"/>
      <c r="O16" s="323">
        <v>2031</v>
      </c>
      <c r="P16" s="325">
        <v>0</v>
      </c>
      <c r="Q16" s="325">
        <v>0</v>
      </c>
      <c r="R16" s="325">
        <f t="shared" si="0"/>
        <v>0</v>
      </c>
      <c r="S16" s="324">
        <f t="shared" si="7"/>
        <v>0</v>
      </c>
      <c r="U16" s="331">
        <f t="shared" si="8"/>
        <v>-500000</v>
      </c>
      <c r="V16" s="331">
        <f t="shared" si="9"/>
        <v>-237546.39819379323</v>
      </c>
    </row>
    <row r="17" spans="1:22">
      <c r="A17" s="315"/>
      <c r="D17" s="37"/>
      <c r="E17" s="38"/>
      <c r="F17" s="38"/>
      <c r="G17" s="433">
        <f t="shared" si="10"/>
        <v>2.2521915889608248</v>
      </c>
      <c r="H17" s="321">
        <v>6</v>
      </c>
      <c r="I17" s="321">
        <v>2032</v>
      </c>
      <c r="J17" s="323"/>
      <c r="K17" s="326">
        <v>500000</v>
      </c>
      <c r="L17" s="324">
        <f t="shared" si="5"/>
        <v>500000</v>
      </c>
      <c r="M17" s="324">
        <f t="shared" si="6"/>
        <v>222005.97962036752</v>
      </c>
      <c r="N17" s="244"/>
      <c r="O17" s="323">
        <v>2032</v>
      </c>
      <c r="P17" s="325">
        <v>0</v>
      </c>
      <c r="Q17" s="325">
        <v>0</v>
      </c>
      <c r="R17" s="325">
        <f t="shared" si="0"/>
        <v>0</v>
      </c>
      <c r="S17" s="324">
        <f t="shared" si="7"/>
        <v>0</v>
      </c>
      <c r="U17" s="331">
        <f t="shared" si="8"/>
        <v>-500000</v>
      </c>
      <c r="V17" s="331">
        <f t="shared" si="9"/>
        <v>-222005.97962036752</v>
      </c>
    </row>
    <row r="18" spans="1:22">
      <c r="D18" s="37"/>
      <c r="E18" s="38"/>
      <c r="F18" s="38"/>
      <c r="G18" s="433">
        <f t="shared" si="10"/>
        <v>2.4098450001880827</v>
      </c>
      <c r="H18" s="321">
        <v>7</v>
      </c>
      <c r="I18" s="321">
        <v>2033</v>
      </c>
      <c r="J18" s="323"/>
      <c r="K18" s="326">
        <v>500000</v>
      </c>
      <c r="L18" s="324">
        <f t="shared" si="5"/>
        <v>500000</v>
      </c>
      <c r="M18" s="324">
        <f t="shared" si="6"/>
        <v>207482.22394426868</v>
      </c>
      <c r="N18" s="244"/>
      <c r="O18" s="323">
        <v>2033</v>
      </c>
      <c r="P18" s="325">
        <v>0</v>
      </c>
      <c r="Q18" s="325">
        <v>0</v>
      </c>
      <c r="R18" s="325">
        <f t="shared" si="0"/>
        <v>0</v>
      </c>
      <c r="S18" s="324">
        <f t="shared" si="7"/>
        <v>0</v>
      </c>
      <c r="U18" s="331">
        <f t="shared" si="8"/>
        <v>-500000</v>
      </c>
      <c r="V18" s="331">
        <f t="shared" si="9"/>
        <v>-207482.22394426868</v>
      </c>
    </row>
    <row r="19" spans="1:22">
      <c r="D19" s="37"/>
      <c r="E19" s="38"/>
      <c r="F19" s="38"/>
      <c r="G19" s="433">
        <f t="shared" si="10"/>
        <v>2.5785341502012487</v>
      </c>
      <c r="H19" s="321">
        <v>8</v>
      </c>
      <c r="I19" s="321">
        <v>2034</v>
      </c>
      <c r="J19" s="323"/>
      <c r="K19" s="326">
        <v>500000</v>
      </c>
      <c r="L19" s="324">
        <f t="shared" si="5"/>
        <v>500000</v>
      </c>
      <c r="M19" s="324">
        <f t="shared" si="6"/>
        <v>193908.62050866231</v>
      </c>
      <c r="N19" s="244"/>
      <c r="O19" s="323">
        <v>2034</v>
      </c>
      <c r="P19" s="325">
        <v>0</v>
      </c>
      <c r="Q19" s="325">
        <v>0</v>
      </c>
      <c r="R19" s="325">
        <f t="shared" si="0"/>
        <v>0</v>
      </c>
      <c r="S19" s="324">
        <f t="shared" si="7"/>
        <v>0</v>
      </c>
      <c r="U19" s="331">
        <f t="shared" si="8"/>
        <v>-500000</v>
      </c>
      <c r="V19" s="331">
        <f t="shared" si="9"/>
        <v>-193908.62050866231</v>
      </c>
    </row>
    <row r="20" spans="1:22">
      <c r="D20" s="37"/>
      <c r="E20" s="38"/>
      <c r="F20" s="38"/>
      <c r="G20" s="433">
        <f t="shared" si="10"/>
        <v>2.7590315407153363</v>
      </c>
      <c r="H20" s="321">
        <v>9</v>
      </c>
      <c r="I20" s="321">
        <v>2035</v>
      </c>
      <c r="J20" s="323"/>
      <c r="K20" s="326">
        <v>500000</v>
      </c>
      <c r="L20" s="324">
        <f t="shared" si="5"/>
        <v>500000</v>
      </c>
      <c r="M20" s="324">
        <f t="shared" si="6"/>
        <v>181223.00982117973</v>
      </c>
      <c r="N20" s="244"/>
      <c r="O20" s="323">
        <v>2035</v>
      </c>
      <c r="P20" s="325">
        <v>0</v>
      </c>
      <c r="Q20" s="325">
        <v>0</v>
      </c>
      <c r="R20" s="325">
        <f t="shared" si="0"/>
        <v>0</v>
      </c>
      <c r="S20" s="324">
        <f t="shared" si="7"/>
        <v>0</v>
      </c>
      <c r="U20" s="331">
        <f t="shared" si="8"/>
        <v>-500000</v>
      </c>
      <c r="V20" s="331">
        <f t="shared" si="9"/>
        <v>-181223.00982117973</v>
      </c>
    </row>
    <row r="21" spans="1:22">
      <c r="A21" s="142"/>
      <c r="D21" s="37"/>
      <c r="E21" s="38"/>
      <c r="F21" s="38"/>
      <c r="G21" s="433">
        <f t="shared" si="10"/>
        <v>2.9521637485654102</v>
      </c>
      <c r="H21" s="321">
        <v>10</v>
      </c>
      <c r="I21" s="321">
        <v>2036</v>
      </c>
      <c r="J21" s="323"/>
      <c r="K21" s="326">
        <v>500000</v>
      </c>
      <c r="L21" s="324">
        <f t="shared" si="5"/>
        <v>500000</v>
      </c>
      <c r="M21" s="324">
        <f t="shared" si="6"/>
        <v>169367.29889829879</v>
      </c>
      <c r="N21" s="244"/>
      <c r="O21" s="323">
        <v>2036</v>
      </c>
      <c r="P21" s="325">
        <v>0</v>
      </c>
      <c r="Q21" s="325">
        <v>0</v>
      </c>
      <c r="R21" s="325">
        <f t="shared" si="0"/>
        <v>0</v>
      </c>
      <c r="S21" s="324">
        <f t="shared" si="7"/>
        <v>0</v>
      </c>
      <c r="U21" s="331">
        <f t="shared" si="8"/>
        <v>-500000</v>
      </c>
      <c r="V21" s="331">
        <f t="shared" si="9"/>
        <v>-169367.29889829879</v>
      </c>
    </row>
    <row r="22" spans="1:22">
      <c r="A22" s="2"/>
      <c r="D22" s="37"/>
      <c r="E22" s="38"/>
      <c r="F22" s="38"/>
      <c r="G22" s="433">
        <f t="shared" si="10"/>
        <v>3.1588152109649892</v>
      </c>
      <c r="H22" s="321">
        <v>11</v>
      </c>
      <c r="I22" s="321">
        <v>2037</v>
      </c>
      <c r="J22" s="323"/>
      <c r="K22" s="326">
        <v>500000</v>
      </c>
      <c r="L22" s="324">
        <f t="shared" si="5"/>
        <v>500000</v>
      </c>
      <c r="M22" s="324">
        <f t="shared" si="6"/>
        <v>158287.19523205492</v>
      </c>
      <c r="N22" s="244"/>
      <c r="O22" s="323">
        <v>2037</v>
      </c>
      <c r="P22" s="325">
        <v>0</v>
      </c>
      <c r="Q22" s="325">
        <v>0</v>
      </c>
      <c r="R22" s="325">
        <f t="shared" si="0"/>
        <v>0</v>
      </c>
      <c r="S22" s="324">
        <f t="shared" si="7"/>
        <v>0</v>
      </c>
      <c r="U22" s="331">
        <f t="shared" si="8"/>
        <v>-500000</v>
      </c>
      <c r="V22" s="331">
        <f t="shared" si="9"/>
        <v>-158287.19523205492</v>
      </c>
    </row>
    <row r="23" spans="1:22">
      <c r="A23" s="3"/>
      <c r="C23" s="245"/>
      <c r="D23" s="37"/>
      <c r="E23" s="38"/>
      <c r="F23" s="38"/>
      <c r="G23" s="433">
        <f t="shared" si="10"/>
        <v>3.3799322757325387</v>
      </c>
      <c r="H23" s="321">
        <v>12</v>
      </c>
      <c r="I23" s="321">
        <v>2038</v>
      </c>
      <c r="J23" s="323"/>
      <c r="K23" s="326">
        <v>500000</v>
      </c>
      <c r="L23" s="324">
        <f t="shared" si="5"/>
        <v>500000</v>
      </c>
      <c r="M23" s="324">
        <f t="shared" si="6"/>
        <v>147931.95816079897</v>
      </c>
      <c r="N23" s="244"/>
      <c r="O23" s="323">
        <v>2038</v>
      </c>
      <c r="P23" s="325">
        <v>0</v>
      </c>
      <c r="Q23" s="325">
        <v>0</v>
      </c>
      <c r="R23" s="325">
        <f t="shared" si="0"/>
        <v>0</v>
      </c>
      <c r="S23" s="324">
        <f t="shared" si="7"/>
        <v>0</v>
      </c>
      <c r="U23" s="331">
        <f t="shared" si="8"/>
        <v>-500000</v>
      </c>
      <c r="V23" s="331">
        <f t="shared" si="9"/>
        <v>-147931.95816079897</v>
      </c>
    </row>
    <row r="24" spans="1:22">
      <c r="A24" s="243"/>
      <c r="B24" s="8"/>
      <c r="C24" s="316"/>
      <c r="D24" s="37"/>
      <c r="E24" s="38"/>
      <c r="F24" s="38"/>
      <c r="G24" s="433">
        <f t="shared" si="10"/>
        <v>3.6165275350338169</v>
      </c>
      <c r="H24" s="321">
        <v>13</v>
      </c>
      <c r="I24" s="321">
        <v>2039</v>
      </c>
      <c r="J24" s="323"/>
      <c r="K24" s="326">
        <v>500000</v>
      </c>
      <c r="L24" s="324">
        <f t="shared" si="5"/>
        <v>500000</v>
      </c>
      <c r="M24" s="324">
        <f t="shared" si="6"/>
        <v>138254.16650541959</v>
      </c>
      <c r="N24" s="244"/>
      <c r="O24" s="323">
        <v>2039</v>
      </c>
      <c r="P24" s="325">
        <v>0</v>
      </c>
      <c r="Q24" s="325">
        <v>0</v>
      </c>
      <c r="R24" s="325">
        <f t="shared" si="0"/>
        <v>0</v>
      </c>
      <c r="S24" s="324">
        <f t="shared" si="7"/>
        <v>0</v>
      </c>
      <c r="U24" s="331">
        <f t="shared" si="8"/>
        <v>-500000</v>
      </c>
      <c r="V24" s="331">
        <f t="shared" si="9"/>
        <v>-138254.16650541959</v>
      </c>
    </row>
    <row r="25" spans="1:22">
      <c r="A25" s="237"/>
      <c r="B25" s="8"/>
      <c r="C25" s="316"/>
      <c r="D25" s="37"/>
      <c r="E25" s="38"/>
      <c r="F25" s="38"/>
      <c r="G25" s="433">
        <f t="shared" si="10"/>
        <v>3.8696844624861844</v>
      </c>
      <c r="H25" s="321">
        <v>14</v>
      </c>
      <c r="I25" s="321">
        <v>2040</v>
      </c>
      <c r="J25" s="323"/>
      <c r="K25" s="326">
        <v>500000</v>
      </c>
      <c r="L25" s="324">
        <f t="shared" si="5"/>
        <v>500000</v>
      </c>
      <c r="M25" s="324">
        <f t="shared" si="6"/>
        <v>129209.50140693419</v>
      </c>
      <c r="N25" s="244"/>
      <c r="O25" s="323">
        <v>2040</v>
      </c>
      <c r="P25" s="325">
        <v>0</v>
      </c>
      <c r="Q25" s="325">
        <v>0</v>
      </c>
      <c r="R25" s="325">
        <f t="shared" si="0"/>
        <v>0</v>
      </c>
      <c r="S25" s="324">
        <f t="shared" si="7"/>
        <v>0</v>
      </c>
      <c r="U25" s="331">
        <f t="shared" si="8"/>
        <v>-500000</v>
      </c>
      <c r="V25" s="331">
        <f t="shared" si="9"/>
        <v>-129209.50140693419</v>
      </c>
    </row>
    <row r="26" spans="1:22">
      <c r="A26" s="237"/>
      <c r="B26" s="8"/>
      <c r="C26" s="316"/>
      <c r="D26" s="37"/>
      <c r="E26" s="38"/>
      <c r="F26" s="38"/>
      <c r="G26" s="433">
        <f t="shared" si="10"/>
        <v>4.1405623748602176</v>
      </c>
      <c r="H26" s="321">
        <v>15</v>
      </c>
      <c r="I26" s="321">
        <v>2041</v>
      </c>
      <c r="J26" s="323"/>
      <c r="K26" s="326">
        <v>500000</v>
      </c>
      <c r="L26" s="324">
        <f t="shared" si="5"/>
        <v>500000</v>
      </c>
      <c r="M26" s="324">
        <f t="shared" si="6"/>
        <v>120756.54337096652</v>
      </c>
      <c r="N26" s="244"/>
      <c r="O26" s="323">
        <v>2041</v>
      </c>
      <c r="P26" s="325">
        <v>0</v>
      </c>
      <c r="Q26" s="325">
        <v>0</v>
      </c>
      <c r="R26" s="325">
        <f t="shared" si="0"/>
        <v>0</v>
      </c>
      <c r="S26" s="324">
        <f t="shared" si="7"/>
        <v>0</v>
      </c>
      <c r="U26" s="331">
        <f t="shared" si="8"/>
        <v>-500000</v>
      </c>
      <c r="V26" s="331">
        <f t="shared" si="9"/>
        <v>-120756.54337096652</v>
      </c>
    </row>
    <row r="27" spans="1:22">
      <c r="A27" s="237"/>
      <c r="C27" s="316"/>
      <c r="D27" s="37"/>
      <c r="E27" s="38"/>
      <c r="F27" s="38"/>
      <c r="G27" s="433">
        <f t="shared" si="10"/>
        <v>4.4304017411004333</v>
      </c>
      <c r="H27" s="321">
        <v>16</v>
      </c>
      <c r="I27" s="321">
        <v>2042</v>
      </c>
      <c r="J27" s="323"/>
      <c r="K27" s="326">
        <v>500000</v>
      </c>
      <c r="L27" s="324">
        <f t="shared" si="5"/>
        <v>500000</v>
      </c>
      <c r="M27" s="324">
        <f t="shared" si="6"/>
        <v>112856.58258968832</v>
      </c>
      <c r="N27" s="244"/>
      <c r="O27" s="323">
        <v>2042</v>
      </c>
      <c r="P27" s="325">
        <v>0</v>
      </c>
      <c r="Q27" s="325">
        <v>0</v>
      </c>
      <c r="R27" s="325">
        <f t="shared" si="0"/>
        <v>0</v>
      </c>
      <c r="S27" s="324">
        <f t="shared" si="7"/>
        <v>0</v>
      </c>
      <c r="U27" s="331">
        <f t="shared" si="8"/>
        <v>-500000</v>
      </c>
      <c r="V27" s="331">
        <f t="shared" si="9"/>
        <v>-112856.58258968832</v>
      </c>
    </row>
    <row r="28" spans="1:22">
      <c r="A28" s="237"/>
      <c r="C28" s="245"/>
      <c r="D28" s="37"/>
      <c r="E28" s="38"/>
      <c r="F28" s="38"/>
      <c r="G28" s="433">
        <f t="shared" si="10"/>
        <v>4.7405298629774641</v>
      </c>
      <c r="H28" s="321">
        <v>17</v>
      </c>
      <c r="I28" s="321">
        <v>2043</v>
      </c>
      <c r="J28" s="323"/>
      <c r="K28" s="326">
        <v>500000</v>
      </c>
      <c r="L28" s="324">
        <f t="shared" si="5"/>
        <v>500000</v>
      </c>
      <c r="M28" s="324">
        <f t="shared" si="6"/>
        <v>105473.4416726059</v>
      </c>
      <c r="N28" s="244"/>
      <c r="O28" s="323">
        <v>2043</v>
      </c>
      <c r="P28" s="325">
        <v>0</v>
      </c>
      <c r="Q28" s="325">
        <v>0</v>
      </c>
      <c r="R28" s="325">
        <f t="shared" si="0"/>
        <v>0</v>
      </c>
      <c r="S28" s="324">
        <f t="shared" si="7"/>
        <v>0</v>
      </c>
      <c r="U28" s="331">
        <f t="shared" si="8"/>
        <v>-500000</v>
      </c>
      <c r="V28" s="331">
        <f t="shared" si="9"/>
        <v>-105473.4416726059</v>
      </c>
    </row>
    <row r="29" spans="1:22">
      <c r="A29" s="237"/>
      <c r="D29" s="37"/>
      <c r="E29" s="244"/>
      <c r="F29" s="38"/>
      <c r="G29" s="433">
        <f t="shared" si="10"/>
        <v>5.0723669533858873</v>
      </c>
      <c r="H29" s="321">
        <v>18</v>
      </c>
      <c r="I29" s="321">
        <v>2044</v>
      </c>
      <c r="J29" s="323"/>
      <c r="K29" s="326">
        <v>500000</v>
      </c>
      <c r="L29" s="324">
        <f t="shared" si="5"/>
        <v>500000</v>
      </c>
      <c r="M29" s="324">
        <f t="shared" si="6"/>
        <v>98573.309974398027</v>
      </c>
      <c r="N29" s="244"/>
      <c r="O29" s="323">
        <v>2044</v>
      </c>
      <c r="P29" s="325">
        <v>0</v>
      </c>
      <c r="Q29" s="325">
        <v>0</v>
      </c>
      <c r="R29" s="325">
        <f t="shared" si="0"/>
        <v>0</v>
      </c>
      <c r="S29" s="324">
        <f t="shared" si="7"/>
        <v>0</v>
      </c>
      <c r="U29" s="331">
        <f t="shared" si="8"/>
        <v>-500000</v>
      </c>
      <c r="V29" s="331">
        <f t="shared" si="9"/>
        <v>-98573.309974398027</v>
      </c>
    </row>
    <row r="30" spans="1:22">
      <c r="A30" s="237"/>
      <c r="F30" s="38"/>
      <c r="G30" s="433">
        <f t="shared" si="10"/>
        <v>5.4274326401229001</v>
      </c>
      <c r="H30" s="321">
        <v>19</v>
      </c>
      <c r="I30" s="321">
        <v>2045</v>
      </c>
      <c r="J30" s="323"/>
      <c r="K30" s="326">
        <v>500000</v>
      </c>
      <c r="L30" s="324">
        <f t="shared" si="5"/>
        <v>500000</v>
      </c>
      <c r="M30" s="324">
        <f t="shared" si="6"/>
        <v>92124.588761119638</v>
      </c>
      <c r="N30" s="244"/>
      <c r="O30" s="323">
        <v>2045</v>
      </c>
      <c r="P30" s="325">
        <v>0</v>
      </c>
      <c r="Q30" s="325">
        <v>0</v>
      </c>
      <c r="R30" s="325">
        <f t="shared" si="0"/>
        <v>0</v>
      </c>
      <c r="S30" s="324">
        <f t="shared" si="7"/>
        <v>0</v>
      </c>
      <c r="U30" s="331">
        <f t="shared" si="8"/>
        <v>-500000</v>
      </c>
      <c r="V30" s="331">
        <f t="shared" si="9"/>
        <v>-92124.588761119638</v>
      </c>
    </row>
    <row r="31" spans="1:22">
      <c r="A31" s="237"/>
      <c r="F31" s="38"/>
      <c r="G31" s="433">
        <f t="shared" si="10"/>
        <v>5.8073529249315037</v>
      </c>
      <c r="H31" s="321">
        <v>20</v>
      </c>
      <c r="I31" s="321">
        <v>2046</v>
      </c>
      <c r="J31" s="323"/>
      <c r="K31" s="326">
        <v>500000</v>
      </c>
      <c r="L31" s="324">
        <f t="shared" si="5"/>
        <v>500000</v>
      </c>
      <c r="M31" s="324">
        <f t="shared" si="6"/>
        <v>86097.746505719275</v>
      </c>
      <c r="N31" s="244"/>
      <c r="O31" s="323">
        <v>2046</v>
      </c>
      <c r="P31" s="325">
        <v>0</v>
      </c>
      <c r="Q31" s="325">
        <v>0</v>
      </c>
      <c r="R31" s="325">
        <f t="shared" si="0"/>
        <v>0</v>
      </c>
      <c r="S31" s="324">
        <f t="shared" si="7"/>
        <v>0</v>
      </c>
      <c r="U31" s="331">
        <f t="shared" si="8"/>
        <v>-500000</v>
      </c>
      <c r="V31" s="331">
        <f t="shared" si="9"/>
        <v>-86097.746505719275</v>
      </c>
    </row>
    <row r="32" spans="1:22">
      <c r="A32" s="237"/>
      <c r="F32" s="38"/>
      <c r="G32" s="433">
        <f t="shared" si="10"/>
        <v>6.2138676296767095</v>
      </c>
      <c r="H32" s="321">
        <v>21</v>
      </c>
      <c r="I32" s="321">
        <v>2047</v>
      </c>
      <c r="J32" s="323"/>
      <c r="K32" s="326">
        <v>500000</v>
      </c>
      <c r="L32" s="324">
        <f t="shared" si="5"/>
        <v>500000</v>
      </c>
      <c r="M32" s="324">
        <f t="shared" si="6"/>
        <v>80465.183650204926</v>
      </c>
      <c r="N32" s="244"/>
      <c r="O32" s="323">
        <v>2047</v>
      </c>
      <c r="P32" s="325">
        <v>0</v>
      </c>
      <c r="Q32" s="325">
        <v>0</v>
      </c>
      <c r="R32" s="325">
        <f t="shared" si="0"/>
        <v>0</v>
      </c>
      <c r="S32" s="324">
        <f t="shared" si="7"/>
        <v>0</v>
      </c>
      <c r="U32" s="331">
        <f t="shared" si="8"/>
        <v>-500000</v>
      </c>
      <c r="V32" s="331">
        <f t="shared" si="9"/>
        <v>-80465.183650204926</v>
      </c>
    </row>
    <row r="33" spans="1:22">
      <c r="A33" s="3"/>
      <c r="F33" s="38"/>
      <c r="G33" s="433">
        <f t="shared" si="10"/>
        <v>6.6488383637540798</v>
      </c>
      <c r="H33" s="321">
        <v>22</v>
      </c>
      <c r="I33" s="321">
        <f>I32+1</f>
        <v>2048</v>
      </c>
      <c r="J33" s="323"/>
      <c r="K33" s="326">
        <v>500000</v>
      </c>
      <c r="L33" s="324">
        <f t="shared" si="5"/>
        <v>500000</v>
      </c>
      <c r="M33" s="324">
        <f t="shared" si="6"/>
        <v>75201.106215144784</v>
      </c>
      <c r="N33" s="244"/>
      <c r="O33" s="323">
        <v>2048</v>
      </c>
      <c r="P33" s="325">
        <v>0</v>
      </c>
      <c r="Q33" s="325">
        <v>0</v>
      </c>
      <c r="R33" s="325">
        <f t="shared" si="0"/>
        <v>0</v>
      </c>
      <c r="S33" s="324">
        <f t="shared" si="7"/>
        <v>0</v>
      </c>
      <c r="U33" s="331">
        <f t="shared" si="8"/>
        <v>-500000</v>
      </c>
      <c r="V33" s="331">
        <f t="shared" si="9"/>
        <v>-75201.106215144784</v>
      </c>
    </row>
    <row r="34" spans="1:22">
      <c r="A34" s="1"/>
      <c r="E34" s="245"/>
      <c r="G34" s="433">
        <f t="shared" si="10"/>
        <v>7.1142570492168655</v>
      </c>
      <c r="H34" s="321">
        <v>23</v>
      </c>
      <c r="I34" s="321">
        <f t="shared" ref="I34:I39" si="11">I33+1</f>
        <v>2049</v>
      </c>
      <c r="J34" s="327"/>
      <c r="K34" s="326">
        <v>500000</v>
      </c>
      <c r="L34" s="324">
        <f t="shared" si="5"/>
        <v>500000</v>
      </c>
      <c r="M34" s="324">
        <f t="shared" si="6"/>
        <v>70281.4076777054</v>
      </c>
      <c r="N34" s="245"/>
      <c r="O34" s="327">
        <f>O33+1</f>
        <v>2049</v>
      </c>
      <c r="P34" s="325">
        <v>0</v>
      </c>
      <c r="Q34" s="325">
        <v>0</v>
      </c>
      <c r="R34" s="325">
        <f t="shared" si="0"/>
        <v>0</v>
      </c>
      <c r="S34" s="324">
        <f t="shared" si="7"/>
        <v>0</v>
      </c>
      <c r="U34" s="331">
        <f t="shared" si="8"/>
        <v>-500000</v>
      </c>
      <c r="V34" s="331">
        <f t="shared" si="9"/>
        <v>-70281.4076777054</v>
      </c>
    </row>
    <row r="35" spans="1:22">
      <c r="G35" s="433">
        <f t="shared" si="10"/>
        <v>7.6122550426620466</v>
      </c>
      <c r="H35" s="321">
        <v>24</v>
      </c>
      <c r="I35" s="321">
        <f t="shared" si="11"/>
        <v>2050</v>
      </c>
      <c r="J35" s="327"/>
      <c r="K35" s="326">
        <v>500000</v>
      </c>
      <c r="L35" s="324">
        <f t="shared" si="5"/>
        <v>500000</v>
      </c>
      <c r="M35" s="324">
        <f t="shared" si="6"/>
        <v>65683.558577294767</v>
      </c>
      <c r="N35" s="245"/>
      <c r="O35" s="327">
        <f t="shared" ref="O35:O39" si="12">O34+1</f>
        <v>2050</v>
      </c>
      <c r="P35" s="325">
        <v>0</v>
      </c>
      <c r="Q35" s="325">
        <v>0</v>
      </c>
      <c r="R35" s="325">
        <f t="shared" si="0"/>
        <v>0</v>
      </c>
      <c r="S35" s="324">
        <f t="shared" si="7"/>
        <v>0</v>
      </c>
      <c r="U35" s="331">
        <f t="shared" si="8"/>
        <v>-500000</v>
      </c>
      <c r="V35" s="331">
        <f t="shared" si="9"/>
        <v>-65683.558577294767</v>
      </c>
    </row>
    <row r="36" spans="1:22">
      <c r="D36" s="37"/>
      <c r="E36" s="244"/>
      <c r="G36" s="433">
        <f t="shared" si="10"/>
        <v>8.1451128956483902</v>
      </c>
      <c r="H36" s="321">
        <v>25</v>
      </c>
      <c r="I36" s="321">
        <f t="shared" si="11"/>
        <v>2051</v>
      </c>
      <c r="J36" s="327"/>
      <c r="K36" s="326">
        <v>500000</v>
      </c>
      <c r="L36" s="324">
        <f t="shared" si="5"/>
        <v>500000</v>
      </c>
      <c r="M36" s="324">
        <f t="shared" si="6"/>
        <v>61386.503343266129</v>
      </c>
      <c r="N36" s="245"/>
      <c r="O36" s="327">
        <f t="shared" si="12"/>
        <v>2051</v>
      </c>
      <c r="P36" s="325">
        <v>0</v>
      </c>
      <c r="Q36" s="325">
        <v>0</v>
      </c>
      <c r="R36" s="325">
        <f t="shared" si="0"/>
        <v>0</v>
      </c>
      <c r="S36" s="324">
        <f t="shared" si="7"/>
        <v>0</v>
      </c>
      <c r="U36" s="331">
        <f t="shared" si="8"/>
        <v>-500000</v>
      </c>
      <c r="V36" s="331">
        <f t="shared" si="9"/>
        <v>-61386.503343266129</v>
      </c>
    </row>
    <row r="37" spans="1:22">
      <c r="D37" s="37"/>
      <c r="E37" s="244"/>
      <c r="G37" s="433">
        <f t="shared" si="10"/>
        <v>8.7152707983437789</v>
      </c>
      <c r="H37" s="321">
        <v>26</v>
      </c>
      <c r="I37" s="321">
        <f t="shared" si="11"/>
        <v>2052</v>
      </c>
      <c r="J37" s="327"/>
      <c r="K37" s="326">
        <v>500000</v>
      </c>
      <c r="L37" s="324">
        <f t="shared" si="5"/>
        <v>500000</v>
      </c>
      <c r="M37" s="324">
        <f t="shared" si="6"/>
        <v>57370.563872211329</v>
      </c>
      <c r="N37" s="245"/>
      <c r="O37" s="327">
        <f t="shared" si="12"/>
        <v>2052</v>
      </c>
      <c r="P37" s="325">
        <v>0</v>
      </c>
      <c r="Q37" s="325">
        <v>0</v>
      </c>
      <c r="R37" s="325">
        <f t="shared" si="0"/>
        <v>0</v>
      </c>
      <c r="S37" s="324">
        <f t="shared" si="7"/>
        <v>0</v>
      </c>
      <c r="U37" s="331">
        <f t="shared" si="8"/>
        <v>-500000</v>
      </c>
      <c r="V37" s="331">
        <f t="shared" si="9"/>
        <v>-57370.563872211329</v>
      </c>
    </row>
    <row r="38" spans="1:22">
      <c r="D38" s="37"/>
      <c r="E38" s="244"/>
      <c r="G38" s="433">
        <f t="shared" si="10"/>
        <v>9.3253397542278442</v>
      </c>
      <c r="H38" s="321">
        <v>27</v>
      </c>
      <c r="I38" s="321">
        <f t="shared" si="11"/>
        <v>2053</v>
      </c>
      <c r="J38" s="327"/>
      <c r="K38" s="326">
        <v>500000</v>
      </c>
      <c r="L38" s="324">
        <f t="shared" si="5"/>
        <v>500000</v>
      </c>
      <c r="M38" s="324">
        <f t="shared" si="6"/>
        <v>53617.349413281612</v>
      </c>
      <c r="N38" s="245"/>
      <c r="O38" s="327">
        <f t="shared" si="12"/>
        <v>2053</v>
      </c>
      <c r="P38" s="325">
        <v>0</v>
      </c>
      <c r="Q38" s="325">
        <v>0</v>
      </c>
      <c r="R38" s="325">
        <f t="shared" si="0"/>
        <v>0</v>
      </c>
      <c r="S38" s="324">
        <f t="shared" si="7"/>
        <v>0</v>
      </c>
      <c r="U38" s="331">
        <f t="shared" si="8"/>
        <v>-500000</v>
      </c>
      <c r="V38" s="331">
        <f t="shared" si="9"/>
        <v>-53617.349413281612</v>
      </c>
    </row>
    <row r="39" spans="1:22">
      <c r="G39" s="433">
        <f t="shared" si="10"/>
        <v>9.9781135370237948</v>
      </c>
      <c r="H39" s="321">
        <v>28</v>
      </c>
      <c r="I39" s="321">
        <f t="shared" si="11"/>
        <v>2054</v>
      </c>
      <c r="J39" s="327"/>
      <c r="K39" s="326">
        <v>500000</v>
      </c>
      <c r="L39" s="324">
        <f t="shared" si="5"/>
        <v>500000</v>
      </c>
      <c r="M39" s="324">
        <f t="shared" si="6"/>
        <v>50109.672348861313</v>
      </c>
      <c r="N39" s="245"/>
      <c r="O39" s="327">
        <f t="shared" si="12"/>
        <v>2054</v>
      </c>
      <c r="P39" s="325">
        <v>0</v>
      </c>
      <c r="Q39" s="325">
        <v>0</v>
      </c>
      <c r="R39" s="325">
        <f t="shared" si="0"/>
        <v>0</v>
      </c>
      <c r="S39" s="324">
        <f t="shared" si="7"/>
        <v>0</v>
      </c>
      <c r="U39" s="331">
        <f t="shared" si="8"/>
        <v>-500000</v>
      </c>
      <c r="V39" s="331">
        <f t="shared" si="9"/>
        <v>-50109.672348861313</v>
      </c>
    </row>
    <row r="41" spans="1:22">
      <c r="D41" s="148"/>
    </row>
    <row r="42" spans="1:22">
      <c r="D42" s="148"/>
    </row>
  </sheetData>
  <mergeCells count="3">
    <mergeCell ref="J3:M3"/>
    <mergeCell ref="P3:S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Y63"/>
  <sheetViews>
    <sheetView topLeftCell="C1" zoomScaleNormal="100" workbookViewId="0">
      <selection activeCell="H18" sqref="H18"/>
    </sheetView>
  </sheetViews>
  <sheetFormatPr defaultRowHeight="14.4"/>
  <cols>
    <col min="1" max="1" width="22.33203125" customWidth="1"/>
    <col min="2" max="2" width="16.109375" bestFit="1" customWidth="1"/>
    <col min="3" max="4" width="15" customWidth="1"/>
    <col min="5" max="5" width="6.44140625" customWidth="1"/>
    <col min="6" max="6" width="16.6640625" bestFit="1" customWidth="1"/>
    <col min="7" max="9" width="15" customWidth="1"/>
    <col min="10" max="10" width="11.6640625" bestFit="1" customWidth="1"/>
    <col min="11" max="11" width="15.88671875" customWidth="1"/>
    <col min="12" max="12" width="12.109375" customWidth="1"/>
    <col min="24" max="24" width="22.5546875" customWidth="1"/>
  </cols>
  <sheetData>
    <row r="1" spans="1:25" s="182" customFormat="1">
      <c r="A1" s="270"/>
      <c r="B1" s="270"/>
      <c r="C1" s="270"/>
      <c r="D1" s="270"/>
      <c r="E1" s="270"/>
      <c r="F1" s="270"/>
      <c r="G1" s="270"/>
      <c r="H1" s="270"/>
      <c r="I1" s="270"/>
    </row>
    <row r="2" spans="1:25" s="182" customFormat="1" ht="22.8">
      <c r="A2" s="271" t="str">
        <f>'Title Sheet'!$A$2</f>
        <v>Benefit-Cost Analysis Spreadsheet for the Illinois International Port - Calumet Bridges Rehabilitation Project</v>
      </c>
      <c r="B2" s="270"/>
      <c r="C2" s="272"/>
      <c r="D2" s="270"/>
      <c r="E2" s="270"/>
      <c r="F2" s="270"/>
      <c r="G2" s="270"/>
      <c r="H2" s="270"/>
      <c r="I2" s="270"/>
    </row>
    <row r="3" spans="1:25" s="182" customFormat="1" ht="13.5" customHeight="1">
      <c r="A3" s="189"/>
      <c r="C3" s="185"/>
    </row>
    <row r="4" spans="1:25" ht="28.8">
      <c r="A4" s="302" t="s">
        <v>150</v>
      </c>
      <c r="B4" s="303" t="s">
        <v>222</v>
      </c>
      <c r="C4" s="303" t="s">
        <v>228</v>
      </c>
      <c r="D4" s="303" t="s">
        <v>223</v>
      </c>
      <c r="E4" s="161"/>
      <c r="F4" s="302" t="s">
        <v>151</v>
      </c>
      <c r="G4" s="303" t="s">
        <v>222</v>
      </c>
      <c r="H4" s="303" t="s">
        <v>228</v>
      </c>
      <c r="I4" s="337" t="s">
        <v>223</v>
      </c>
      <c r="J4" s="303" t="s">
        <v>154</v>
      </c>
      <c r="K4" s="303" t="s">
        <v>229</v>
      </c>
      <c r="L4" s="303" t="s">
        <v>224</v>
      </c>
      <c r="N4" s="55"/>
      <c r="O4" s="464" t="s">
        <v>165</v>
      </c>
      <c r="P4" s="465"/>
      <c r="Q4" s="465"/>
      <c r="R4" s="465"/>
      <c r="S4" s="465"/>
      <c r="T4" s="465"/>
      <c r="U4" s="465"/>
      <c r="V4" s="465"/>
      <c r="W4" s="465"/>
      <c r="X4" s="466"/>
      <c r="Y4" s="55"/>
    </row>
    <row r="5" spans="1:25">
      <c r="A5" s="162" t="s">
        <v>155</v>
      </c>
      <c r="B5" s="297">
        <v>10044038640</v>
      </c>
      <c r="C5" s="297">
        <v>10551621000</v>
      </c>
      <c r="D5" s="298">
        <v>11532990048</v>
      </c>
      <c r="E5" s="161"/>
      <c r="F5" s="162" t="s">
        <v>156</v>
      </c>
      <c r="G5" s="297">
        <v>342155666.07600003</v>
      </c>
      <c r="H5" s="297">
        <v>361636661.88</v>
      </c>
      <c r="I5" s="334">
        <v>426159321</v>
      </c>
      <c r="J5" s="336">
        <f>B5/G5</f>
        <v>29.355172618328073</v>
      </c>
      <c r="K5" s="336">
        <f t="shared" ref="K5:K7" si="0">C5/H5</f>
        <v>29.177409572211154</v>
      </c>
      <c r="L5" s="336">
        <f t="shared" ref="L5:L7" si="1">D5/I5</f>
        <v>27.062625360246432</v>
      </c>
      <c r="N5" s="55"/>
      <c r="O5" s="467"/>
      <c r="P5" s="468"/>
      <c r="Q5" s="468"/>
      <c r="R5" s="468"/>
      <c r="S5" s="468"/>
      <c r="T5" s="468"/>
      <c r="U5" s="468"/>
      <c r="V5" s="468"/>
      <c r="W5" s="468"/>
      <c r="X5" s="469"/>
      <c r="Y5" s="55"/>
    </row>
    <row r="6" spans="1:25">
      <c r="A6" s="162" t="s">
        <v>157</v>
      </c>
      <c r="B6" s="297">
        <v>1034498752.5</v>
      </c>
      <c r="C6" s="297">
        <v>984249922.5</v>
      </c>
      <c r="D6" s="298">
        <v>1122385845</v>
      </c>
      <c r="E6" s="161"/>
      <c r="F6" s="162" t="s">
        <v>158</v>
      </c>
      <c r="G6" s="297">
        <v>34132428.789999999</v>
      </c>
      <c r="H6" s="297">
        <v>32233601.289999999</v>
      </c>
      <c r="I6" s="334">
        <v>39816581.350000001</v>
      </c>
      <c r="J6" s="336">
        <f t="shared" ref="J6:J7" si="2">B6/G6</f>
        <v>30.308383820699095</v>
      </c>
      <c r="K6" s="336">
        <f t="shared" si="0"/>
        <v>30.534904047638918</v>
      </c>
      <c r="L6" s="336">
        <f t="shared" si="1"/>
        <v>28.188905399333084</v>
      </c>
      <c r="N6" s="55"/>
      <c r="O6" s="467"/>
      <c r="P6" s="468"/>
      <c r="Q6" s="468"/>
      <c r="R6" s="468"/>
      <c r="S6" s="468"/>
      <c r="T6" s="468"/>
      <c r="U6" s="468"/>
      <c r="V6" s="468"/>
      <c r="W6" s="468"/>
      <c r="X6" s="469"/>
      <c r="Y6" s="55"/>
    </row>
    <row r="7" spans="1:25" ht="15" thickBot="1">
      <c r="A7" s="163" t="s">
        <v>159</v>
      </c>
      <c r="B7" s="299">
        <f>SUM(B5:B6)</f>
        <v>11078537392.5</v>
      </c>
      <c r="C7" s="299">
        <f>SUM(C5:C6)</f>
        <v>11535870922.5</v>
      </c>
      <c r="D7" s="300">
        <f>SUM(D5:D6)</f>
        <v>12655375893</v>
      </c>
      <c r="E7" s="161"/>
      <c r="F7" s="163" t="s">
        <v>160</v>
      </c>
      <c r="G7" s="299">
        <f>SUM(G5:G6)</f>
        <v>376288094.86600006</v>
      </c>
      <c r="H7" s="299">
        <f>SUM(H5:H6)</f>
        <v>393870263.17000002</v>
      </c>
      <c r="I7" s="335">
        <f>SUM(I5:I6)</f>
        <v>465975902.35000002</v>
      </c>
      <c r="J7" s="336">
        <f t="shared" si="2"/>
        <v>29.441636723705482</v>
      </c>
      <c r="K7" s="336">
        <f t="shared" si="0"/>
        <v>29.288504366020021</v>
      </c>
      <c r="L7" s="336">
        <f t="shared" si="1"/>
        <v>27.158863428723826</v>
      </c>
      <c r="N7" s="55"/>
      <c r="O7" s="467"/>
      <c r="P7" s="468"/>
      <c r="Q7" s="468"/>
      <c r="R7" s="468"/>
      <c r="S7" s="468"/>
      <c r="T7" s="468"/>
      <c r="U7" s="468"/>
      <c r="V7" s="468"/>
      <c r="W7" s="468"/>
      <c r="X7" s="469"/>
      <c r="Y7" s="55"/>
    </row>
    <row r="8" spans="1:25" ht="16.2" thickBot="1">
      <c r="B8" s="4"/>
      <c r="C8" s="4"/>
      <c r="D8" s="4"/>
      <c r="G8" s="4"/>
      <c r="H8" s="4"/>
      <c r="I8" s="4"/>
      <c r="N8" s="55"/>
      <c r="O8" s="470" t="s">
        <v>231</v>
      </c>
      <c r="P8" s="471"/>
      <c r="Q8" s="471"/>
      <c r="R8" s="471"/>
      <c r="S8" s="471"/>
      <c r="T8" s="471"/>
      <c r="U8" s="471"/>
      <c r="V8" s="471"/>
      <c r="W8" s="471"/>
      <c r="X8" s="472"/>
      <c r="Y8" s="55"/>
    </row>
    <row r="9" spans="1:25" ht="16.2" thickBot="1">
      <c r="A9" s="350" t="s">
        <v>0</v>
      </c>
      <c r="B9" s="351"/>
      <c r="C9" s="352" t="s">
        <v>230</v>
      </c>
      <c r="D9" s="353" t="s">
        <v>234</v>
      </c>
      <c r="E9" s="167"/>
      <c r="F9" s="350" t="s">
        <v>0</v>
      </c>
      <c r="G9" s="351"/>
      <c r="H9" s="352" t="s">
        <v>230</v>
      </c>
      <c r="I9" s="353" t="s">
        <v>235</v>
      </c>
      <c r="J9" s="354" t="s">
        <v>19</v>
      </c>
      <c r="K9" s="352" t="s">
        <v>230</v>
      </c>
      <c r="L9" s="353" t="s">
        <v>234</v>
      </c>
      <c r="N9" s="55"/>
      <c r="O9" s="473" t="s">
        <v>232</v>
      </c>
      <c r="P9" s="474"/>
      <c r="Q9" s="474"/>
      <c r="R9" s="474"/>
      <c r="S9" s="474"/>
      <c r="T9" s="474"/>
      <c r="U9" s="474"/>
      <c r="V9" s="474"/>
      <c r="W9" s="474"/>
      <c r="X9" s="475"/>
      <c r="Y9" s="55"/>
    </row>
    <row r="10" spans="1:25" ht="15.6">
      <c r="A10" s="346" t="s">
        <v>156</v>
      </c>
      <c r="B10" s="347"/>
      <c r="C10" s="348">
        <f>(C5/B5)^(1/('Default Values'!$B$78-'Default Values'!$B$77))-1</f>
        <v>8.2505512473058928E-3</v>
      </c>
      <c r="D10" s="349">
        <f>(D5/C5)^(1/('Default Values'!$B$79-'Default Values'!$B$78))-1</f>
        <v>3.0713321094169022E-3</v>
      </c>
      <c r="E10" s="167"/>
      <c r="F10" s="346" t="s">
        <v>156</v>
      </c>
      <c r="G10" s="347"/>
      <c r="H10" s="348">
        <f>(H5/G5)^(1/('Default Values'!$B$78-'Default Values'!$B$77))-1</f>
        <v>9.2717545078269126E-3</v>
      </c>
      <c r="I10" s="349">
        <f>(I5/H5)^(1/('Default Values'!$B$79-'Default Values'!$B$78))-1</f>
        <v>5.6772014003425575E-3</v>
      </c>
      <c r="J10" s="355" t="s">
        <v>249</v>
      </c>
      <c r="K10" s="348">
        <f>(K5/J5)^(1/(2025-2018))-1</f>
        <v>-8.6733861590737593E-4</v>
      </c>
      <c r="L10" s="349">
        <f>(L5/K5)^(1/('Default Values'!$B$79-'Default Values'!$B$78))-1</f>
        <v>-2.5911587607803099E-3</v>
      </c>
      <c r="N10" s="55"/>
      <c r="O10" s="473"/>
      <c r="P10" s="474"/>
      <c r="Q10" s="474"/>
      <c r="R10" s="474"/>
      <c r="S10" s="474"/>
      <c r="T10" s="474"/>
      <c r="U10" s="474"/>
      <c r="V10" s="474"/>
      <c r="W10" s="474"/>
      <c r="X10" s="475"/>
      <c r="Y10" s="55"/>
    </row>
    <row r="11" spans="1:25" ht="15.6">
      <c r="A11" s="340" t="s">
        <v>158</v>
      </c>
      <c r="B11" s="138"/>
      <c r="C11" s="338">
        <f>(C6/B6)^(1/('Default Values'!$B$78-'Default Values'!$B$77))-1</f>
        <v>-8.2644005481707916E-3</v>
      </c>
      <c r="D11" s="341">
        <f>(D6/C6)^(1/('Default Values'!$B$79-'Default Values'!$B$78))-1</f>
        <v>4.5389619626279298E-3</v>
      </c>
      <c r="E11" s="167"/>
      <c r="F11" s="340" t="s">
        <v>158</v>
      </c>
      <c r="G11" s="138"/>
      <c r="H11" s="338">
        <f>(H6/G6)^(1/('Default Values'!$B$78-'Default Values'!$B$77))-1</f>
        <v>-9.4943903608974978E-3</v>
      </c>
      <c r="I11" s="341">
        <f>(I6/H6)^(1/('Default Values'!$B$79-'Default Values'!$B$78))-1</f>
        <v>7.3119133224088806E-3</v>
      </c>
      <c r="J11" s="356" t="s">
        <v>250</v>
      </c>
      <c r="K11" s="338">
        <f>(K6/J6)^(1/(2025-2018))-1</f>
        <v>1.0642882821079169E-3</v>
      </c>
      <c r="L11" s="341">
        <f>(L6/K6)^(1/('Default Values'!$B$79-'Default Values'!$B$78))-1</f>
        <v>-2.7528229569280249E-3</v>
      </c>
      <c r="N11" s="55"/>
      <c r="O11" s="473"/>
      <c r="P11" s="474"/>
      <c r="Q11" s="474"/>
      <c r="R11" s="474"/>
      <c r="S11" s="474"/>
      <c r="T11" s="474"/>
      <c r="U11" s="474"/>
      <c r="V11" s="474"/>
      <c r="W11" s="474"/>
      <c r="X11" s="475"/>
      <c r="Y11" s="55"/>
    </row>
    <row r="12" spans="1:25" ht="16.2" thickBot="1">
      <c r="A12" s="342" t="s">
        <v>160</v>
      </c>
      <c r="B12" s="343"/>
      <c r="C12" s="345">
        <f>(C7/B7)^(1/('Default Values'!$B$78-'Default Values'!$B$77))-1</f>
        <v>6.7647319746610979E-3</v>
      </c>
      <c r="D12" s="344">
        <f>(D7/C7)^(1/('Default Values'!$B$79-'Default Values'!$B$78))-1</f>
        <v>3.1989230931175339E-3</v>
      </c>
      <c r="E12" s="167"/>
      <c r="F12" s="342" t="s">
        <v>160</v>
      </c>
      <c r="G12" s="343"/>
      <c r="H12" s="345">
        <f>(H7/G7)^(1/('Default Values'!$B$78-'Default Values'!$B$77))-1</f>
        <v>7.6401236071153011E-3</v>
      </c>
      <c r="I12" s="344">
        <f>(I7/H7)^(1/('Default Values'!$B$79-'Default Values'!$B$78))-1</f>
        <v>5.8138124826057069E-3</v>
      </c>
      <c r="J12" s="357" t="s">
        <v>251</v>
      </c>
      <c r="K12" s="345">
        <f>(K7/J7)^(1/(2025-2018))-1</f>
        <v>-7.4469271720523089E-4</v>
      </c>
      <c r="L12" s="344">
        <f>(L7/K7)^(1/('Default Values'!$B$79-'Default Values'!$B$78))-1</f>
        <v>-2.5997747863830689E-3</v>
      </c>
      <c r="N12" s="55"/>
      <c r="O12" s="172"/>
      <c r="P12" s="173"/>
      <c r="Q12" s="173"/>
      <c r="R12" s="173"/>
      <c r="S12" s="173"/>
      <c r="T12" s="173"/>
      <c r="U12" s="173"/>
      <c r="V12" s="173"/>
      <c r="W12" s="173"/>
      <c r="X12" s="174"/>
      <c r="Y12" s="55"/>
    </row>
    <row r="13" spans="1:25">
      <c r="A13" s="266"/>
      <c r="B13" s="266"/>
      <c r="C13" s="266"/>
      <c r="D13" s="266"/>
      <c r="E13" s="266"/>
      <c r="F13" s="266"/>
      <c r="G13" s="266"/>
      <c r="N13" s="55"/>
      <c r="O13" s="457" t="s">
        <v>248</v>
      </c>
      <c r="P13" s="458"/>
      <c r="Q13" s="458"/>
      <c r="R13" s="458"/>
      <c r="S13" s="458"/>
      <c r="T13" s="458"/>
      <c r="U13" s="458"/>
      <c r="V13" s="458"/>
      <c r="W13" s="458"/>
      <c r="X13" s="459"/>
      <c r="Y13" s="55"/>
    </row>
    <row r="14" spans="1:25">
      <c r="A14" s="463"/>
      <c r="B14" s="463"/>
      <c r="C14" s="161"/>
      <c r="D14" s="161"/>
      <c r="E14" s="161"/>
      <c r="F14" s="339"/>
      <c r="G14" s="339"/>
      <c r="H14" s="161"/>
      <c r="I14" s="161"/>
      <c r="N14" s="55"/>
      <c r="O14" s="457"/>
      <c r="P14" s="458"/>
      <c r="Q14" s="458"/>
      <c r="R14" s="458"/>
      <c r="S14" s="458"/>
      <c r="T14" s="458"/>
      <c r="U14" s="458"/>
      <c r="V14" s="458"/>
      <c r="W14" s="458"/>
      <c r="X14" s="459"/>
      <c r="Y14" s="55"/>
    </row>
    <row r="15" spans="1:25">
      <c r="A15" s="164"/>
      <c r="B15" s="161"/>
      <c r="C15" s="161"/>
      <c r="D15" s="161"/>
      <c r="E15" s="161"/>
      <c r="F15" s="164"/>
      <c r="G15" s="161"/>
      <c r="H15" s="161"/>
      <c r="I15" s="161"/>
      <c r="N15" s="55"/>
      <c r="O15" s="457"/>
      <c r="P15" s="458"/>
      <c r="Q15" s="458"/>
      <c r="R15" s="458"/>
      <c r="S15" s="458"/>
      <c r="T15" s="458"/>
      <c r="U15" s="458"/>
      <c r="V15" s="458"/>
      <c r="W15" s="458"/>
      <c r="X15" s="459"/>
      <c r="Y15" s="55"/>
    </row>
    <row r="16" spans="1:25" ht="15.6">
      <c r="A16" s="165"/>
      <c r="B16" s="165"/>
      <c r="C16" s="165"/>
      <c r="D16" s="165"/>
      <c r="E16" s="165"/>
      <c r="F16" s="165"/>
      <c r="G16" s="165"/>
      <c r="H16" s="165"/>
      <c r="I16" s="165"/>
      <c r="N16" s="55"/>
      <c r="O16" s="457"/>
      <c r="P16" s="458"/>
      <c r="Q16" s="458"/>
      <c r="R16" s="458"/>
      <c r="S16" s="458"/>
      <c r="T16" s="458"/>
      <c r="U16" s="458"/>
      <c r="V16" s="458"/>
      <c r="W16" s="458"/>
      <c r="X16" s="459"/>
      <c r="Y16" s="55"/>
    </row>
    <row r="17" spans="1:25" ht="28.8">
      <c r="A17" s="159" t="s">
        <v>152</v>
      </c>
      <c r="B17" s="160" t="s">
        <v>222</v>
      </c>
      <c r="C17" s="160" t="s">
        <v>228</v>
      </c>
      <c r="D17" s="160" t="s">
        <v>223</v>
      </c>
      <c r="E17" s="161"/>
      <c r="F17" s="159" t="s">
        <v>153</v>
      </c>
      <c r="G17" s="160" t="s">
        <v>222</v>
      </c>
      <c r="H17" s="160" t="s">
        <v>228</v>
      </c>
      <c r="I17" s="333" t="s">
        <v>223</v>
      </c>
      <c r="J17" s="160" t="s">
        <v>154</v>
      </c>
      <c r="K17" s="160" t="s">
        <v>225</v>
      </c>
      <c r="L17" s="160" t="s">
        <v>224</v>
      </c>
      <c r="N17" s="55"/>
      <c r="O17" s="457"/>
      <c r="P17" s="458"/>
      <c r="Q17" s="458"/>
      <c r="R17" s="458"/>
      <c r="S17" s="458"/>
      <c r="T17" s="458"/>
      <c r="U17" s="458"/>
      <c r="V17" s="458"/>
      <c r="W17" s="458"/>
      <c r="X17" s="459"/>
      <c r="Y17" s="55"/>
    </row>
    <row r="18" spans="1:25">
      <c r="A18" s="162" t="s">
        <v>155</v>
      </c>
      <c r="B18" s="297">
        <v>10044038640</v>
      </c>
      <c r="C18" s="297">
        <v>10574781792</v>
      </c>
      <c r="D18" s="298">
        <v>11584623504</v>
      </c>
      <c r="E18" s="161"/>
      <c r="F18" s="162" t="s">
        <v>156</v>
      </c>
      <c r="G18" s="297">
        <v>342155666.07600003</v>
      </c>
      <c r="H18" s="297">
        <v>362189807.88</v>
      </c>
      <c r="I18" s="334">
        <v>428293472.76000005</v>
      </c>
      <c r="J18" s="336">
        <f>B18/G18</f>
        <v>29.355172618328073</v>
      </c>
      <c r="K18" s="336">
        <f t="shared" ref="K18:K20" si="3">C18/H18</f>
        <v>29.19679560807414</v>
      </c>
      <c r="L18" s="336">
        <f t="shared" ref="L18:L20" si="4">D18/I18</f>
        <v>27.048330737675283</v>
      </c>
      <c r="N18" s="55"/>
      <c r="O18" s="457"/>
      <c r="P18" s="458"/>
      <c r="Q18" s="458"/>
      <c r="R18" s="458"/>
      <c r="S18" s="458"/>
      <c r="T18" s="458"/>
      <c r="U18" s="458"/>
      <c r="V18" s="458"/>
      <c r="W18" s="458"/>
      <c r="X18" s="459"/>
      <c r="Y18" s="55"/>
    </row>
    <row r="19" spans="1:25">
      <c r="A19" s="162" t="s">
        <v>157</v>
      </c>
      <c r="B19" s="297">
        <v>1034498752.5</v>
      </c>
      <c r="C19" s="297">
        <v>981224477.5</v>
      </c>
      <c r="D19" s="298">
        <v>1117884645</v>
      </c>
      <c r="E19" s="161"/>
      <c r="F19" s="162" t="s">
        <v>158</v>
      </c>
      <c r="G19" s="297">
        <v>34132428.789999999</v>
      </c>
      <c r="H19" s="297">
        <v>32172390.859999999</v>
      </c>
      <c r="I19" s="334">
        <v>39686744.670000002</v>
      </c>
      <c r="J19" s="336">
        <f t="shared" ref="J19:J20" si="5">B19/G19</f>
        <v>30.308383820699095</v>
      </c>
      <c r="K19" s="336">
        <f t="shared" si="3"/>
        <v>30.498960483535541</v>
      </c>
      <c r="L19" s="336">
        <f t="shared" si="4"/>
        <v>28.167708243529262</v>
      </c>
      <c r="N19" s="55"/>
      <c r="O19" s="457"/>
      <c r="P19" s="458"/>
      <c r="Q19" s="458"/>
      <c r="R19" s="458"/>
      <c r="S19" s="458"/>
      <c r="T19" s="458"/>
      <c r="U19" s="458"/>
      <c r="V19" s="458"/>
      <c r="W19" s="458"/>
      <c r="X19" s="459"/>
      <c r="Y19" s="55"/>
    </row>
    <row r="20" spans="1:25" ht="15" thickBot="1">
      <c r="A20" s="163" t="s">
        <v>159</v>
      </c>
      <c r="B20" s="299">
        <f>SUM(B18:B19)</f>
        <v>11078537392.5</v>
      </c>
      <c r="C20" s="299">
        <f>SUM(C18:C19)</f>
        <v>11556006269.5</v>
      </c>
      <c r="D20" s="300">
        <f>SUM(D18:D19)</f>
        <v>12702508149</v>
      </c>
      <c r="E20" s="161"/>
      <c r="F20" s="163" t="s">
        <v>160</v>
      </c>
      <c r="G20" s="299">
        <f>SUM(G18:G19)</f>
        <v>376288094.86600006</v>
      </c>
      <c r="H20" s="299">
        <f>SUM(H18:H19)</f>
        <v>394362198.74000001</v>
      </c>
      <c r="I20" s="335">
        <f>SUM(I18:I19)</f>
        <v>467980217.43000007</v>
      </c>
      <c r="J20" s="336">
        <f t="shared" si="5"/>
        <v>29.441636723705482</v>
      </c>
      <c r="K20" s="336">
        <f t="shared" si="3"/>
        <v>29.303027284110431</v>
      </c>
      <c r="L20" s="336">
        <f t="shared" si="4"/>
        <v>27.143258787215778</v>
      </c>
      <c r="N20" s="55"/>
      <c r="O20" s="457"/>
      <c r="P20" s="458"/>
      <c r="Q20" s="458"/>
      <c r="R20" s="458"/>
      <c r="S20" s="458"/>
      <c r="T20" s="458"/>
      <c r="U20" s="458"/>
      <c r="V20" s="458"/>
      <c r="W20" s="458"/>
      <c r="X20" s="459"/>
      <c r="Y20" s="55"/>
    </row>
    <row r="21" spans="1:25" ht="15" thickBot="1">
      <c r="B21" s="4"/>
      <c r="C21" s="4"/>
      <c r="D21" s="4"/>
      <c r="G21" s="4"/>
      <c r="H21" s="4"/>
      <c r="I21" s="4"/>
      <c r="N21" s="55"/>
      <c r="O21" s="460"/>
      <c r="P21" s="461"/>
      <c r="Q21" s="461"/>
      <c r="R21" s="461"/>
      <c r="S21" s="461"/>
      <c r="T21" s="461"/>
      <c r="U21" s="461"/>
      <c r="V21" s="461"/>
      <c r="W21" s="461"/>
      <c r="X21" s="462"/>
      <c r="Y21" s="55"/>
    </row>
    <row r="22" spans="1:25" ht="15" thickBot="1">
      <c r="A22" s="350" t="s">
        <v>0</v>
      </c>
      <c r="B22" s="351"/>
      <c r="C22" s="352" t="s">
        <v>230</v>
      </c>
      <c r="D22" s="353" t="s">
        <v>235</v>
      </c>
      <c r="E22" s="166"/>
      <c r="F22" s="350" t="s">
        <v>0</v>
      </c>
      <c r="G22" s="351"/>
      <c r="H22" s="352" t="s">
        <v>230</v>
      </c>
      <c r="I22" s="353" t="s">
        <v>235</v>
      </c>
      <c r="J22" s="354" t="s">
        <v>19</v>
      </c>
      <c r="K22" s="352" t="s">
        <v>230</v>
      </c>
      <c r="L22" s="353" t="s">
        <v>234</v>
      </c>
      <c r="N22" s="55"/>
      <c r="Y22" s="55"/>
    </row>
    <row r="23" spans="1:25" ht="18">
      <c r="A23" s="346" t="s">
        <v>156</v>
      </c>
      <c r="B23" s="347"/>
      <c r="C23" s="348">
        <f>(C18/B18)^(1/('Default Values'!$B$78-'Default Values'!$B$77))-1</f>
        <v>8.6190657576765695E-3</v>
      </c>
      <c r="D23" s="349">
        <f>(D18/C18)^(1/('Default Values'!$B$79-'Default Values'!$B$78))-1</f>
        <v>3.1500049538031316E-3</v>
      </c>
      <c r="E23" s="166"/>
      <c r="F23" s="346" t="s">
        <v>156</v>
      </c>
      <c r="G23" s="347"/>
      <c r="H23" s="348">
        <f>(H18/G18)^(1/('Default Values'!$B$78-'Default Values'!$B$77))-1</f>
        <v>9.5288814469880467E-3</v>
      </c>
      <c r="I23" s="349">
        <f>(I18/H18)^(1/('Default Values'!$B$79-'Default Values'!$B$78))-1</f>
        <v>5.7974383741818958E-3</v>
      </c>
      <c r="J23" s="355" t="s">
        <v>249</v>
      </c>
      <c r="K23" s="348">
        <f>(K18/J18)^(1/(2025-2018))-1</f>
        <v>-7.7253088256357128E-4</v>
      </c>
      <c r="L23" s="349">
        <f>(L18/K18)^(1/('Default Values'!$B$79-'Default Values'!$B$78))-1</f>
        <v>-2.6321735563953341E-3</v>
      </c>
      <c r="O23" s="478"/>
      <c r="P23" s="479"/>
      <c r="Q23" s="479"/>
      <c r="R23" s="479"/>
      <c r="S23" s="479"/>
      <c r="T23" s="479"/>
      <c r="U23" s="479"/>
      <c r="V23" s="479"/>
      <c r="W23" s="479"/>
      <c r="X23" s="480"/>
    </row>
    <row r="24" spans="1:25" ht="18">
      <c r="A24" s="340" t="s">
        <v>158</v>
      </c>
      <c r="B24" s="138"/>
      <c r="C24" s="338">
        <f>(C19/B19)^(1/('Default Values'!$B$78-'Default Values'!$B$77))-1</f>
        <v>-8.773128322340118E-3</v>
      </c>
      <c r="D24" s="341">
        <f>(D19/C19)^(1/('Default Values'!$B$79-'Default Values'!$B$78))-1</f>
        <v>4.5064065526163599E-3</v>
      </c>
      <c r="E24" s="166"/>
      <c r="F24" s="340" t="s">
        <v>158</v>
      </c>
      <c r="G24" s="138"/>
      <c r="H24" s="338">
        <f>(H19/G19)^(1/('Default Values'!$B$78-'Default Values'!$B$77))-1</f>
        <v>-9.8081276804951045E-3</v>
      </c>
      <c r="I24" s="341">
        <f>(I19/H19)^(1/('Default Values'!$B$79-'Default Values'!$B$78))-1</f>
        <v>7.264486405027526E-3</v>
      </c>
      <c r="J24" s="356" t="s">
        <v>250</v>
      </c>
      <c r="K24" s="338">
        <f>(K19/J19)^(1/(2025-2018))-1</f>
        <v>8.9586283566411851E-4</v>
      </c>
      <c r="L24" s="341">
        <f>(L19/K19)^(1/('Default Values'!$B$79-'Default Values'!$B$78))-1</f>
        <v>-2.7381883205818136E-3</v>
      </c>
      <c r="O24" s="481"/>
      <c r="P24" s="476"/>
      <c r="Q24" s="476"/>
      <c r="R24" s="476"/>
      <c r="S24" s="476"/>
      <c r="T24" s="476"/>
      <c r="U24" s="476"/>
      <c r="V24" s="476"/>
      <c r="W24" s="476"/>
      <c r="X24" s="477"/>
    </row>
    <row r="25" spans="1:25" ht="18.600000000000001" thickBot="1">
      <c r="A25" s="342" t="s">
        <v>160</v>
      </c>
      <c r="B25" s="343"/>
      <c r="C25" s="345">
        <f>(C20/B20)^(1/('Default Values'!$B$78-'Default Values'!$B$77))-1</f>
        <v>7.0573963388738115E-3</v>
      </c>
      <c r="D25" s="344">
        <f>(D20/C20)^(1/('Default Values'!$B$79-'Default Values'!$B$78))-1</f>
        <v>3.2671926036906829E-3</v>
      </c>
      <c r="E25" s="166"/>
      <c r="F25" s="342" t="s">
        <v>160</v>
      </c>
      <c r="G25" s="343"/>
      <c r="H25" s="345">
        <f>(H20/G20)^(1/('Default Values'!$B$78-'Default Values'!$B$77))-1</f>
        <v>7.8497680419200577E-3</v>
      </c>
      <c r="I25" s="344">
        <f>(I20/H20)^(1/('Default Values'!$B$79-'Default Values'!$B$78))-1</f>
        <v>5.9193904644996298E-3</v>
      </c>
      <c r="J25" s="357" t="s">
        <v>251</v>
      </c>
      <c r="K25" s="345">
        <f>(K20/J20)^(1/(2025-2018))-1</f>
        <v>-6.7392375234220925E-4</v>
      </c>
      <c r="L25" s="344">
        <f>(L20/K20)^(1/('Default Values'!$B$79-'Default Values'!$B$78))-1</f>
        <v>-2.6365908500721735E-3</v>
      </c>
      <c r="O25" s="175"/>
      <c r="P25" s="476"/>
      <c r="Q25" s="476"/>
      <c r="R25" s="476"/>
      <c r="S25" s="476"/>
      <c r="T25" s="476"/>
      <c r="U25" s="476"/>
      <c r="V25" s="476"/>
      <c r="W25" s="476"/>
      <c r="X25" s="477"/>
    </row>
    <row r="26" spans="1:25" ht="18">
      <c r="O26" s="175"/>
      <c r="P26" s="476"/>
      <c r="Q26" s="476"/>
      <c r="R26" s="476"/>
      <c r="S26" s="476"/>
      <c r="T26" s="476"/>
      <c r="U26" s="476"/>
      <c r="V26" s="476"/>
      <c r="W26" s="476"/>
      <c r="X26" s="477"/>
    </row>
    <row r="27" spans="1:25" ht="18">
      <c r="B27" s="5"/>
      <c r="O27" s="170"/>
      <c r="P27" s="482"/>
      <c r="Q27" s="482"/>
      <c r="R27" s="482"/>
      <c r="S27" s="482"/>
      <c r="T27" s="482"/>
      <c r="U27" s="482"/>
      <c r="V27" s="482"/>
      <c r="W27" s="482"/>
      <c r="X27" s="483"/>
    </row>
    <row r="28" spans="1:25">
      <c r="B28" s="182"/>
      <c r="C28" s="182"/>
      <c r="D28" s="182"/>
      <c r="E28" s="182"/>
      <c r="F28" s="182"/>
      <c r="G28" s="182"/>
      <c r="O28" s="170"/>
      <c r="P28" s="55"/>
      <c r="Q28" s="55"/>
      <c r="R28" s="55"/>
      <c r="S28" s="55"/>
      <c r="T28" s="55"/>
      <c r="U28" s="55"/>
      <c r="V28" s="55"/>
      <c r="W28" s="55"/>
      <c r="X28" s="171"/>
    </row>
    <row r="29" spans="1:25">
      <c r="B29" s="304"/>
      <c r="C29" s="304"/>
      <c r="D29" s="304"/>
      <c r="E29" s="304"/>
      <c r="F29" s="304"/>
      <c r="G29" s="182"/>
      <c r="O29" s="170"/>
      <c r="P29" s="55"/>
      <c r="Q29" s="55"/>
      <c r="R29" s="55"/>
      <c r="S29" s="55"/>
      <c r="T29" s="55"/>
      <c r="U29" s="55"/>
      <c r="V29" s="55"/>
      <c r="W29" s="55"/>
      <c r="X29" s="171"/>
    </row>
    <row r="30" spans="1:25">
      <c r="B30" s="304"/>
      <c r="C30" s="304"/>
      <c r="D30" s="304"/>
      <c r="E30" s="304"/>
      <c r="F30" s="304"/>
      <c r="G30" s="182"/>
      <c r="O30" s="170"/>
      <c r="P30" s="55"/>
      <c r="Q30" s="55"/>
      <c r="R30" s="55"/>
      <c r="S30" s="55"/>
      <c r="T30" s="55"/>
      <c r="U30" s="55"/>
      <c r="V30" s="55"/>
      <c r="W30" s="55"/>
      <c r="X30" s="171"/>
    </row>
    <row r="31" spans="1:25" ht="15.6">
      <c r="B31" s="245"/>
      <c r="C31" s="245"/>
      <c r="D31" s="245"/>
      <c r="E31" s="245"/>
      <c r="F31" s="245"/>
      <c r="G31" s="182"/>
      <c r="O31" s="170"/>
      <c r="P31" s="176"/>
      <c r="Q31" s="55"/>
      <c r="R31" s="55"/>
      <c r="S31" s="55"/>
      <c r="T31" s="55"/>
      <c r="U31" s="55"/>
      <c r="V31" s="55"/>
      <c r="W31" s="55"/>
      <c r="X31" s="171"/>
    </row>
    <row r="32" spans="1:25">
      <c r="B32" s="25"/>
      <c r="C32" s="25"/>
      <c r="D32" s="25"/>
      <c r="E32" s="182"/>
      <c r="F32" s="25"/>
      <c r="G32" s="182"/>
      <c r="H32" s="192"/>
      <c r="I32" s="192"/>
      <c r="O32" s="170"/>
      <c r="P32" s="55"/>
      <c r="Q32" s="55"/>
      <c r="R32" s="55"/>
      <c r="S32" s="55"/>
      <c r="T32" s="55"/>
      <c r="U32" s="55"/>
      <c r="V32" s="55"/>
      <c r="W32" s="55"/>
      <c r="X32" s="171"/>
    </row>
    <row r="33" spans="2:24">
      <c r="B33" s="25"/>
      <c r="C33" s="25"/>
      <c r="D33" s="25"/>
      <c r="E33" s="25"/>
      <c r="F33" s="25"/>
      <c r="G33" s="182"/>
      <c r="H33" s="192"/>
      <c r="O33" s="170"/>
      <c r="P33" s="55"/>
      <c r="Q33" s="55"/>
      <c r="R33" s="55"/>
      <c r="S33" s="55"/>
      <c r="T33" s="55"/>
      <c r="U33" s="55"/>
      <c r="V33" s="55"/>
      <c r="W33" s="55"/>
      <c r="X33" s="171"/>
    </row>
    <row r="34" spans="2:24">
      <c r="B34" s="25"/>
      <c r="C34" s="25"/>
      <c r="D34" s="25"/>
      <c r="E34" s="25"/>
      <c r="F34" s="25"/>
      <c r="H34" s="192"/>
      <c r="O34" s="170"/>
      <c r="P34" s="55"/>
      <c r="Q34" s="55"/>
      <c r="R34" s="55"/>
      <c r="S34" s="55"/>
      <c r="T34" s="55"/>
      <c r="U34" s="55"/>
      <c r="V34" s="55"/>
      <c r="W34" s="55"/>
      <c r="X34" s="171"/>
    </row>
    <row r="35" spans="2:24" ht="15.6">
      <c r="B35" s="25"/>
      <c r="C35" s="25"/>
      <c r="D35" s="25"/>
      <c r="E35" s="25"/>
      <c r="F35" s="25"/>
      <c r="H35" s="192"/>
      <c r="O35" s="170"/>
      <c r="P35" s="176"/>
      <c r="Q35" s="55"/>
      <c r="R35" s="55"/>
      <c r="S35" s="55"/>
      <c r="T35" s="55"/>
      <c r="U35" s="55"/>
      <c r="V35" s="55"/>
      <c r="W35" s="55"/>
      <c r="X35" s="171"/>
    </row>
    <row r="36" spans="2:24">
      <c r="B36" s="25"/>
      <c r="C36" s="25"/>
      <c r="D36" s="25"/>
      <c r="E36" s="25"/>
      <c r="F36" s="25"/>
      <c r="H36" s="192"/>
      <c r="O36" s="170"/>
      <c r="P36" s="177"/>
      <c r="Q36" s="55"/>
      <c r="R36" s="55"/>
      <c r="S36" s="55"/>
      <c r="T36" s="55"/>
      <c r="U36" s="55"/>
      <c r="V36" s="55"/>
      <c r="W36" s="55"/>
      <c r="X36" s="171"/>
    </row>
    <row r="37" spans="2:24" ht="18">
      <c r="B37" s="25"/>
      <c r="C37" s="25"/>
      <c r="D37" s="25"/>
      <c r="E37" s="25"/>
      <c r="F37" s="25"/>
      <c r="H37" s="192"/>
      <c r="O37" s="170"/>
      <c r="P37" s="476"/>
      <c r="Q37" s="476"/>
      <c r="R37" s="476"/>
      <c r="S37" s="476"/>
      <c r="T37" s="476"/>
      <c r="U37" s="476"/>
      <c r="V37" s="476"/>
      <c r="W37" s="476"/>
      <c r="X37" s="477"/>
    </row>
    <row r="38" spans="2:24" ht="18">
      <c r="B38" s="25"/>
      <c r="C38" s="25"/>
      <c r="D38" s="25"/>
      <c r="E38" s="25"/>
      <c r="F38" s="25"/>
      <c r="H38" s="192"/>
      <c r="O38" s="170"/>
      <c r="P38" s="476"/>
      <c r="Q38" s="476"/>
      <c r="R38" s="476"/>
      <c r="S38" s="476"/>
      <c r="T38" s="476"/>
      <c r="U38" s="476"/>
      <c r="V38" s="476"/>
      <c r="W38" s="476"/>
      <c r="X38" s="477"/>
    </row>
    <row r="39" spans="2:24" ht="18">
      <c r="B39" s="25"/>
      <c r="C39" s="25"/>
      <c r="D39" s="25"/>
      <c r="E39" s="25"/>
      <c r="F39" s="25"/>
      <c r="H39" s="192"/>
      <c r="O39" s="170"/>
      <c r="P39" s="476"/>
      <c r="Q39" s="476"/>
      <c r="R39" s="476"/>
      <c r="S39" s="476"/>
      <c r="T39" s="476"/>
      <c r="U39" s="476"/>
      <c r="V39" s="476"/>
      <c r="W39" s="476"/>
      <c r="X39" s="477"/>
    </row>
    <row r="40" spans="2:24" ht="18">
      <c r="B40" s="25"/>
      <c r="C40" s="25"/>
      <c r="D40" s="25"/>
      <c r="E40" s="25"/>
      <c r="F40" s="25"/>
      <c r="H40" s="192"/>
      <c r="O40" s="170"/>
      <c r="P40" s="476"/>
      <c r="Q40" s="476"/>
      <c r="R40" s="476"/>
      <c r="S40" s="476"/>
      <c r="T40" s="476"/>
      <c r="U40" s="476"/>
      <c r="V40" s="476"/>
      <c r="W40" s="476"/>
      <c r="X40" s="477"/>
    </row>
    <row r="41" spans="2:24" ht="18">
      <c r="B41" s="25"/>
      <c r="C41" s="25"/>
      <c r="D41" s="25"/>
      <c r="E41" s="25"/>
      <c r="F41" s="25"/>
      <c r="H41" s="192"/>
      <c r="O41" s="170"/>
      <c r="P41" s="476"/>
      <c r="Q41" s="476"/>
      <c r="R41" s="476"/>
      <c r="S41" s="476"/>
      <c r="T41" s="476"/>
      <c r="U41" s="476"/>
      <c r="V41" s="476"/>
      <c r="W41" s="476"/>
      <c r="X41" s="477"/>
    </row>
    <row r="42" spans="2:24">
      <c r="B42" s="25"/>
      <c r="C42" s="25"/>
      <c r="D42" s="25"/>
      <c r="E42" s="25"/>
      <c r="F42" s="25"/>
      <c r="H42" s="192"/>
    </row>
    <row r="43" spans="2:24">
      <c r="B43" s="25"/>
      <c r="C43" s="25"/>
      <c r="D43" s="25"/>
      <c r="E43" s="25"/>
      <c r="F43" s="25"/>
      <c r="H43" s="192"/>
    </row>
    <row r="44" spans="2:24">
      <c r="B44" s="25"/>
      <c r="C44" s="25"/>
      <c r="D44" s="25"/>
      <c r="F44" s="25"/>
      <c r="H44" s="192"/>
    </row>
    <row r="45" spans="2:24">
      <c r="B45" s="25"/>
      <c r="C45" s="25"/>
      <c r="D45" s="25"/>
      <c r="F45" s="25"/>
      <c r="H45" s="192"/>
    </row>
    <row r="46" spans="2:24">
      <c r="B46" s="25"/>
      <c r="C46" s="25"/>
      <c r="D46" s="25"/>
      <c r="F46" s="25"/>
      <c r="H46" s="192"/>
    </row>
    <row r="47" spans="2:24">
      <c r="B47" s="25"/>
      <c r="C47" s="25"/>
      <c r="D47" s="25"/>
      <c r="F47" s="25"/>
      <c r="H47" s="192"/>
    </row>
    <row r="48" spans="2:24">
      <c r="B48" s="25"/>
      <c r="C48" s="25"/>
      <c r="D48" s="25"/>
      <c r="F48" s="25"/>
      <c r="H48" s="192"/>
    </row>
    <row r="49" spans="2:8">
      <c r="B49" s="25"/>
      <c r="C49" s="25"/>
      <c r="D49" s="25"/>
      <c r="F49" s="25"/>
      <c r="H49" s="192"/>
    </row>
    <row r="50" spans="2:8">
      <c r="B50" s="25"/>
      <c r="C50" s="25"/>
      <c r="D50" s="25"/>
      <c r="F50" s="25"/>
      <c r="H50" s="192"/>
    </row>
    <row r="51" spans="2:8">
      <c r="B51" s="25"/>
      <c r="C51" s="25"/>
      <c r="D51" s="25"/>
      <c r="F51" s="25"/>
      <c r="H51" s="192"/>
    </row>
    <row r="52" spans="2:8">
      <c r="B52" s="25"/>
      <c r="C52" s="25"/>
      <c r="D52" s="25"/>
      <c r="F52" s="25"/>
      <c r="H52" s="192"/>
    </row>
    <row r="53" spans="2:8">
      <c r="B53" s="25"/>
      <c r="C53" s="25"/>
      <c r="D53" s="25"/>
      <c r="F53" s="25"/>
      <c r="H53" s="192"/>
    </row>
    <row r="54" spans="2:8">
      <c r="B54" s="25"/>
      <c r="C54" s="25"/>
      <c r="D54" s="25"/>
      <c r="F54" s="25"/>
      <c r="H54" s="192"/>
    </row>
    <row r="55" spans="2:8">
      <c r="B55" s="25"/>
      <c r="C55" s="25"/>
      <c r="D55" s="25"/>
      <c r="F55" s="25"/>
      <c r="H55" s="192"/>
    </row>
    <row r="56" spans="2:8">
      <c r="B56" s="25"/>
      <c r="C56" s="25"/>
      <c r="D56" s="25"/>
      <c r="F56" s="25"/>
      <c r="H56" s="192"/>
    </row>
    <row r="57" spans="2:8">
      <c r="B57" s="25"/>
      <c r="C57" s="25"/>
      <c r="D57" s="25"/>
      <c r="F57" s="25"/>
      <c r="H57" s="192"/>
    </row>
    <row r="58" spans="2:8">
      <c r="B58" s="25"/>
      <c r="C58" s="25"/>
      <c r="D58" s="25"/>
      <c r="F58" s="25"/>
      <c r="H58" s="192"/>
    </row>
    <row r="59" spans="2:8">
      <c r="B59" s="25"/>
      <c r="C59" s="25"/>
      <c r="D59" s="25"/>
      <c r="F59" s="25"/>
      <c r="H59" s="192"/>
    </row>
    <row r="60" spans="2:8">
      <c r="B60" s="25"/>
      <c r="C60" s="25"/>
      <c r="D60" s="25"/>
      <c r="F60" s="25"/>
      <c r="H60" s="192"/>
    </row>
    <row r="61" spans="2:8">
      <c r="B61" s="25"/>
      <c r="C61" s="25"/>
      <c r="D61" s="25"/>
      <c r="F61" s="25"/>
      <c r="H61" s="192"/>
    </row>
    <row r="62" spans="2:8">
      <c r="B62" s="25"/>
      <c r="C62" s="25"/>
      <c r="D62" s="25"/>
      <c r="F62" s="25"/>
      <c r="H62" s="192"/>
    </row>
    <row r="63" spans="2:8">
      <c r="B63" s="25"/>
      <c r="C63" s="25"/>
      <c r="D63" s="25"/>
      <c r="F63" s="25"/>
      <c r="H63" s="192"/>
    </row>
  </sheetData>
  <mergeCells count="16">
    <mergeCell ref="P39:X39"/>
    <mergeCell ref="P40:X40"/>
    <mergeCell ref="P41:X41"/>
    <mergeCell ref="O23:X23"/>
    <mergeCell ref="O24:X24"/>
    <mergeCell ref="P25:X26"/>
    <mergeCell ref="P27:X27"/>
    <mergeCell ref="P37:X37"/>
    <mergeCell ref="P38:X38"/>
    <mergeCell ref="O13:X21"/>
    <mergeCell ref="A14:B14"/>
    <mergeCell ref="O4:X7"/>
    <mergeCell ref="O8:X8"/>
    <mergeCell ref="O9:X9"/>
    <mergeCell ref="O10:X10"/>
    <mergeCell ref="O11:X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4B1CF629A4D64687516B856EA288DC" ma:contentTypeVersion="18" ma:contentTypeDescription="Create a new document." ma:contentTypeScope="" ma:versionID="4aea9767bd408eb087d9e81f874a34a6">
  <xsd:schema xmlns:xsd="http://www.w3.org/2001/XMLSchema" xmlns:xs="http://www.w3.org/2001/XMLSchema" xmlns:p="http://schemas.microsoft.com/office/2006/metadata/properties" xmlns:ns1="http://schemas.microsoft.com/sharepoint/v3" xmlns:ns2="f310ada9-4477-4495-920e-bc27981ea867" xmlns:ns3="824f7506-ec71-44e7-a9c2-b19a484d436a" targetNamespace="http://schemas.microsoft.com/office/2006/metadata/properties" ma:root="true" ma:fieldsID="d7098d98c6c117327d115f4b04ec7d8f" ns1:_="" ns2:_="" ns3:_="">
    <xsd:import namespace="http://schemas.microsoft.com/sharepoint/v3"/>
    <xsd:import namespace="f310ada9-4477-4495-920e-bc27981ea867"/>
    <xsd:import namespace="824f7506-ec71-44e7-a9c2-b19a484d436a"/>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10ada9-4477-4495-920e-bc27981ea8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5869760-63e5-4ad7-8e1d-ce12b2e8d0a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24f7506-ec71-44e7-a9c2-b19a484d436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d55d466-fc14-410a-860f-d0f1222dda29}" ma:internalName="TaxCatchAll" ma:showField="CatchAllData" ma:web="824f7506-ec71-44e7-a9c2-b19a484d43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24f7506-ec71-44e7-a9c2-b19a484d436a" xsi:nil="true"/>
    <lcf76f155ced4ddcb4097134ff3c332f xmlns="f310ada9-4477-4495-920e-bc27981ea86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A62920-8045-40BA-8095-107B36719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310ada9-4477-4495-920e-bc27981ea867"/>
    <ds:schemaRef ds:uri="824f7506-ec71-44e7-a9c2-b19a484d4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E399F5-D100-4C1C-9810-14FB0E034B18}">
  <ds:schemaRefs>
    <ds:schemaRef ds:uri="http://schemas.openxmlformats.org/package/2006/metadata/core-properties"/>
    <ds:schemaRef ds:uri="http://www.w3.org/XML/1998/namespace"/>
    <ds:schemaRef ds:uri="http://purl.org/dc/elements/1.1/"/>
    <ds:schemaRef ds:uri="http://schemas.microsoft.com/sharepoint/v3"/>
    <ds:schemaRef ds:uri="http://purl.org/dc/terms/"/>
    <ds:schemaRef ds:uri="f310ada9-4477-4495-920e-bc27981ea867"/>
    <ds:schemaRef ds:uri="http://schemas.microsoft.com/office/2006/documentManagement/types"/>
    <ds:schemaRef ds:uri="http://schemas.microsoft.com/office/infopath/2007/PartnerControls"/>
    <ds:schemaRef ds:uri="824f7506-ec71-44e7-a9c2-b19a484d436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EA881E8-722F-435B-A41C-8E38A0E94A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Title Sheet</vt:lpstr>
      <vt:lpstr>About the Spreadsheet Tabs</vt:lpstr>
      <vt:lpstr>Default Values</vt:lpstr>
      <vt:lpstr>Project Benefits &amp; Costs BCR</vt:lpstr>
      <vt:lpstr>BCA Summary Nominal</vt:lpstr>
      <vt:lpstr>BCA Summary Discounted</vt:lpstr>
      <vt:lpstr>Break-Even Graph</vt:lpstr>
      <vt:lpstr>Project Capital and O&amp;M Costs</vt:lpstr>
      <vt:lpstr>TDM Data</vt:lpstr>
      <vt:lpstr>VHT to VOTT Savings</vt:lpstr>
      <vt:lpstr>VMT to VOC Savings</vt:lpstr>
      <vt:lpstr>Crash Rates</vt:lpstr>
      <vt:lpstr>Crashes and Crash Cost Savings</vt:lpstr>
      <vt:lpstr>Environmental Factors</vt:lpstr>
      <vt:lpstr>Environmental Factors2</vt:lpstr>
      <vt:lpstr>Emissions Per VMT</vt:lpstr>
      <vt:lpstr>Emissions Total</vt:lpstr>
      <vt:lpstr>Emissions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Lissa D. Sweeney</cp:lastModifiedBy>
  <dcterms:created xsi:type="dcterms:W3CDTF">2021-02-26T17:28:21Z</dcterms:created>
  <dcterms:modified xsi:type="dcterms:W3CDTF">2022-05-19T17:37:24Z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0x0101008B4B1CF629A4D64687516B856EA288DC</vt:lpwstr>
  </property>
  <property fmtid="{D5CDD505-2E9C-101B-9397-08002B2CF9AE}" pid="3" name="MediaServiceImageTags">
    <vt:lpwstr/>
  </property>
</Properties>
</file>